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N:\Technica\UK Life &amp; Investments\GIA ongoing suitability calculator\"/>
    </mc:Choice>
  </mc:AlternateContent>
  <xr:revisionPtr revIDLastSave="0" documentId="13_ncr:1_{D9FBAA35-7A7E-46AB-B24A-397A4703329F}" xr6:coauthVersionLast="47" xr6:coauthVersionMax="47" xr10:uidLastSave="{00000000-0000-0000-0000-000000000000}"/>
  <workbookProtection workbookAlgorithmName="SHA-512" workbookHashValue="zBOvtcKnTORP9fkoLD2/bdpyMtsgE8w0EI8sXXEzwt8DyUtWEaWrUcK6TG4mtkw9ZtXEFOZlU2u94AZwkgCc8w==" workbookSaltValue="Rm3cC0VXVLoZPkOli+AsGA==" workbookSpinCount="100000" lockStructure="1"/>
  <bookViews>
    <workbookView showSheetTabs="0" xWindow="-120" yWindow="-120" windowWidth="29040" windowHeight="15720" xr2:uid="{00000000-000D-0000-FFFF-FFFF00000000}"/>
  </bookViews>
  <sheets>
    <sheet name="Input &amp; summary" sheetId="6" r:id="rId1"/>
    <sheet name="medium term comparison" sheetId="5" r:id="rId2"/>
    <sheet name="Allowances" sheetId="3" state="hidden" r:id="rId3"/>
    <sheet name="Control sheet" sheetId="4" state="hidden" r:id="rId4"/>
  </sheets>
  <definedNames>
    <definedName name="AEA_used">'Input &amp; summary'!$H$13</definedName>
    <definedName name="AEA_used_this_yr">'Input &amp; summary'!$E$14</definedName>
    <definedName name="Allowance_used">Allowances!$J$2:$J$12</definedName>
    <definedName name="Cap_grwh">'Input &amp; summary'!$L$11</definedName>
    <definedName name="CGT_rates">Allowances!$I$2:$I$5</definedName>
    <definedName name="CGT_Y_N">Allowances!$E$10:$E$11</definedName>
    <definedName name="CIB_net_return">'Input &amp; summary'!$L$22</definedName>
    <definedName name="Closing_CIB_val">'medium term comparison'!$N$41</definedName>
    <definedName name="Closing_GIA_val">'medium term comparison'!$T$27</definedName>
    <definedName name="Current_GIA_gain">'Input &amp; summary'!$E$12</definedName>
    <definedName name="Current_GIA_value">'Input &amp; summary'!$E$11</definedName>
    <definedName name="Current_tax_rate">'Input &amp; summary'!$E$13</definedName>
    <definedName name="Div_all_used">'Input &amp; summary'!$H$11</definedName>
    <definedName name="Div_grwh">'Input &amp; summary'!$L$13</definedName>
    <definedName name="DIV_rates">Allowances!$H$2:$H$5</definedName>
    <definedName name="final_carried_gain">'medium term comparison'!$L$27</definedName>
    <definedName name="GIA_net_return">'Input &amp; summary'!$H$22</definedName>
    <definedName name="Int_grwh">'Input &amp; summary'!$L$12</definedName>
    <definedName name="Lifecorate">Allowances!$R$2</definedName>
    <definedName name="Lifecoratediv">Allowances!$S$2</definedName>
    <definedName name="max_return">Allowances!$L$2</definedName>
    <definedName name="Opening_CIB">'medium term comparison'!$B$32</definedName>
    <definedName name="_xlnm.Print_Area" localSheetId="0">'Input &amp; summary'!$A$1:$O$52</definedName>
    <definedName name="_xlnm.Print_Area" localSheetId="1">'medium term comparison'!$A$1:$V$71</definedName>
    <definedName name="projection_term">Allowances!$P$2:$P$11</definedName>
    <definedName name="PSA_used">'Input &amp; summary'!$H$12</definedName>
    <definedName name="Rebase_gain">'Input &amp; summary'!$H$14</definedName>
    <definedName name="Tax_if_clsd">'medium term comparison'!$F$29</definedName>
    <definedName name="Tax_lookup">Allowances!$G$1:$I$5</definedName>
    <definedName name="Tax_loss_sav">'medium term comparison'!$O$42</definedName>
    <definedName name="Tax_rates">Allowances!$G$2:$G$5</definedName>
    <definedName name="TaxYR_end">'medium term comparison'!$H$14</definedName>
    <definedName name="Total_return">'Input &amp; summary'!$M$11</definedName>
    <definedName name="Total_withs">'medium term comparison'!$M$42</definedName>
    <definedName name="Total_withs_CIA">'medium term comparison'!$G$28</definedName>
    <definedName name="With_perc">Allowances!$N$2:$N$22</definedName>
    <definedName name="Withs_level">'Input &amp; summary'!$L$14</definedName>
    <definedName name="Year_recouped">'medium term comparison'!$P$42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1" i="6" l="1"/>
  <c r="C31" i="6"/>
  <c r="I34" i="6"/>
  <c r="I30" i="6"/>
  <c r="I29" i="6"/>
  <c r="C30" i="6"/>
  <c r="C29" i="6"/>
  <c r="G19" i="5"/>
  <c r="G20" i="5"/>
  <c r="G21" i="5"/>
  <c r="G22" i="5"/>
  <c r="G23" i="5"/>
  <c r="G24" i="5"/>
  <c r="G25" i="5"/>
  <c r="G26" i="5"/>
  <c r="G27" i="5"/>
  <c r="G18" i="5"/>
  <c r="D18" i="5"/>
  <c r="P18" i="5" s="1"/>
  <c r="L12" i="5"/>
  <c r="L11" i="5"/>
  <c r="L10" i="5"/>
  <c r="L9" i="5"/>
  <c r="H12" i="5"/>
  <c r="H11" i="5"/>
  <c r="H10" i="5"/>
  <c r="H9" i="5"/>
  <c r="E12" i="5"/>
  <c r="E11" i="5"/>
  <c r="E10" i="5"/>
  <c r="E9" i="5"/>
  <c r="E18" i="5" l="1"/>
  <c r="M18" i="5"/>
  <c r="B51" i="6" l="1"/>
  <c r="B37" i="6"/>
  <c r="B20" i="6"/>
  <c r="G16" i="6"/>
  <c r="H16" i="6" s="1"/>
  <c r="M11" i="6"/>
  <c r="M9" i="5" s="1"/>
  <c r="B18" i="5" l="1"/>
  <c r="B46" i="5"/>
  <c r="G14" i="5"/>
  <c r="H14" i="5" s="1"/>
  <c r="F29" i="5" s="1"/>
  <c r="Q9" i="5" l="1"/>
  <c r="B32" i="5" s="1"/>
  <c r="U18" i="5"/>
  <c r="Q18" i="5" s="1"/>
  <c r="R18" i="5" s="1"/>
  <c r="M32" i="5" l="1"/>
  <c r="M34" i="5"/>
  <c r="M41" i="5"/>
  <c r="M35" i="5"/>
  <c r="M36" i="5"/>
  <c r="M37" i="5"/>
  <c r="M38" i="5"/>
  <c r="M33" i="5"/>
  <c r="M39" i="5"/>
  <c r="M40" i="5"/>
  <c r="S30" i="5"/>
  <c r="E20" i="6"/>
  <c r="G28" i="5"/>
  <c r="N18" i="5"/>
  <c r="O18" i="5" s="1"/>
  <c r="F18" i="5"/>
  <c r="U19" i="5"/>
  <c r="Q19" i="5" s="1"/>
  <c r="D32" i="5" l="1"/>
  <c r="H18" i="5"/>
  <c r="J18" i="5" s="1"/>
  <c r="N19" i="5"/>
  <c r="F19" i="5"/>
  <c r="U20" i="5"/>
  <c r="K18" i="5" l="1"/>
  <c r="L18" i="5" s="1"/>
  <c r="G32" i="5"/>
  <c r="H32" i="5" s="1"/>
  <c r="I32" i="5"/>
  <c r="K32" i="5" s="1"/>
  <c r="E32" i="5"/>
  <c r="F32" i="5" s="1"/>
  <c r="N20" i="5"/>
  <c r="Q20" i="5"/>
  <c r="I18" i="5"/>
  <c r="B19" i="5" s="1"/>
  <c r="F20" i="5"/>
  <c r="U21" i="5"/>
  <c r="Q21" i="5" s="1"/>
  <c r="N32" i="5" l="1"/>
  <c r="D33" i="5" s="1"/>
  <c r="L32" i="5"/>
  <c r="M42" i="5"/>
  <c r="S18" i="5"/>
  <c r="T18" i="5"/>
  <c r="D19" i="5" s="1"/>
  <c r="U22" i="5"/>
  <c r="Q22" i="5" s="1"/>
  <c r="G33" i="5" l="1"/>
  <c r="H33" i="5" s="1"/>
  <c r="I33" i="5"/>
  <c r="K33" i="5" s="1"/>
  <c r="E33" i="5"/>
  <c r="F33" i="5" s="1"/>
  <c r="M19" i="5"/>
  <c r="O19" i="5" s="1"/>
  <c r="P19" i="5"/>
  <c r="R19" i="5" s="1"/>
  <c r="E19" i="5"/>
  <c r="O32" i="5"/>
  <c r="P32" i="5" s="1"/>
  <c r="U23" i="5"/>
  <c r="Q23" i="5" s="1"/>
  <c r="N33" i="5" l="1"/>
  <c r="D34" i="5" s="1"/>
  <c r="L33" i="5"/>
  <c r="R32" i="5"/>
  <c r="S32" i="5" s="1"/>
  <c r="H19" i="5"/>
  <c r="U24" i="5"/>
  <c r="Q24" i="5" s="1"/>
  <c r="I19" i="5" l="1"/>
  <c r="T19" i="5" s="1"/>
  <c r="D20" i="5" s="1"/>
  <c r="G34" i="5"/>
  <c r="H34" i="5" s="1"/>
  <c r="I34" i="5"/>
  <c r="K34" i="5" s="1"/>
  <c r="E34" i="5"/>
  <c r="F34" i="5" s="1"/>
  <c r="J19" i="5"/>
  <c r="K19" i="5" s="1"/>
  <c r="U25" i="5"/>
  <c r="Q25" i="5" s="1"/>
  <c r="D9" i="3"/>
  <c r="N21" i="5" s="1"/>
  <c r="C9" i="3"/>
  <c r="B9" i="3"/>
  <c r="N34" i="5" l="1"/>
  <c r="D35" i="5" s="1"/>
  <c r="L34" i="5"/>
  <c r="S19" i="5"/>
  <c r="O33" i="5" s="1"/>
  <c r="P33" i="5" s="1"/>
  <c r="B20" i="5"/>
  <c r="U26" i="5"/>
  <c r="Q26" i="5" s="1"/>
  <c r="B10" i="3"/>
  <c r="F21" i="5"/>
  <c r="C10" i="3"/>
  <c r="D10" i="3"/>
  <c r="N22" i="5" s="1"/>
  <c r="L19" i="5"/>
  <c r="I35" i="5" l="1"/>
  <c r="K35" i="5" s="1"/>
  <c r="E35" i="5"/>
  <c r="F35" i="5" s="1"/>
  <c r="G35" i="5"/>
  <c r="H35" i="5" s="1"/>
  <c r="M20" i="5"/>
  <c r="O20" i="5" s="1"/>
  <c r="P20" i="5"/>
  <c r="R20" i="5" s="1"/>
  <c r="E20" i="5"/>
  <c r="R33" i="5"/>
  <c r="S33" i="5" s="1"/>
  <c r="U27" i="5"/>
  <c r="Q27" i="5" s="1"/>
  <c r="B11" i="3"/>
  <c r="F22" i="5"/>
  <c r="D11" i="3"/>
  <c r="N23" i="5" s="1"/>
  <c r="C11" i="3"/>
  <c r="N35" i="5" l="1"/>
  <c r="L35" i="5"/>
  <c r="H20" i="5"/>
  <c r="B12" i="3"/>
  <c r="F23" i="5"/>
  <c r="C12" i="3"/>
  <c r="D12" i="3"/>
  <c r="N24" i="5" s="1"/>
  <c r="J20" i="5" l="1"/>
  <c r="K20" i="5" s="1"/>
  <c r="I20" i="5"/>
  <c r="S20" i="5" s="1"/>
  <c r="O34" i="5" s="1"/>
  <c r="P34" i="5" s="1"/>
  <c r="D36" i="5"/>
  <c r="D13" i="3"/>
  <c r="N25" i="5" s="1"/>
  <c r="C13" i="3"/>
  <c r="B13" i="3"/>
  <c r="F24" i="5"/>
  <c r="I36" i="5" l="1"/>
  <c r="K36" i="5" s="1"/>
  <c r="E36" i="5"/>
  <c r="F36" i="5" s="1"/>
  <c r="G36" i="5"/>
  <c r="H36" i="5" s="1"/>
  <c r="L20" i="5"/>
  <c r="R34" i="5"/>
  <c r="S34" i="5" s="1"/>
  <c r="B21" i="5"/>
  <c r="T20" i="5"/>
  <c r="D21" i="5" s="1"/>
  <c r="B14" i="3"/>
  <c r="F25" i="5"/>
  <c r="C14" i="3"/>
  <c r="D14" i="3"/>
  <c r="N26" i="5" s="1"/>
  <c r="N36" i="5" l="1"/>
  <c r="M21" i="5"/>
  <c r="O21" i="5" s="1"/>
  <c r="P21" i="5"/>
  <c r="R21" i="5" s="1"/>
  <c r="E21" i="5"/>
  <c r="L36" i="5"/>
  <c r="D15" i="3"/>
  <c r="N27" i="5" s="1"/>
  <c r="C15" i="3"/>
  <c r="B15" i="3"/>
  <c r="F26" i="5"/>
  <c r="D37" i="5" l="1"/>
  <c r="H21" i="5"/>
  <c r="C16" i="3"/>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B16" i="3"/>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F27" i="5"/>
  <c r="D16" i="3"/>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D61" i="3" s="1"/>
  <c r="D62" i="3" s="1"/>
  <c r="D63" i="3" s="1"/>
  <c r="D64" i="3" s="1"/>
  <c r="D65" i="3" s="1"/>
  <c r="D66" i="3" s="1"/>
  <c r="D67" i="3" s="1"/>
  <c r="D68" i="3" s="1"/>
  <c r="D69" i="3" s="1"/>
  <c r="D70" i="3" s="1"/>
  <c r="D71" i="3" s="1"/>
  <c r="D72" i="3" s="1"/>
  <c r="D73" i="3" s="1"/>
  <c r="D74" i="3" s="1"/>
  <c r="D75" i="3" s="1"/>
  <c r="D76" i="3" s="1"/>
  <c r="D77" i="3" s="1"/>
  <c r="D78" i="3" s="1"/>
  <c r="D79" i="3" s="1"/>
  <c r="D80" i="3" s="1"/>
  <c r="D81" i="3" s="1"/>
  <c r="D82" i="3" s="1"/>
  <c r="D83" i="3" s="1"/>
  <c r="D84" i="3" s="1"/>
  <c r="D85" i="3" s="1"/>
  <c r="D86" i="3" s="1"/>
  <c r="D87" i="3" s="1"/>
  <c r="D88" i="3" s="1"/>
  <c r="D89" i="3" s="1"/>
  <c r="D90" i="3" s="1"/>
  <c r="D91" i="3" s="1"/>
  <c r="D92" i="3" s="1"/>
  <c r="D93" i="3" s="1"/>
  <c r="D94" i="3" s="1"/>
  <c r="D95" i="3" s="1"/>
  <c r="D96" i="3" s="1"/>
  <c r="D97" i="3" s="1"/>
  <c r="D98" i="3" s="1"/>
  <c r="D99" i="3" s="1"/>
  <c r="D100" i="3" s="1"/>
  <c r="I21" i="5" l="1"/>
  <c r="S21" i="5" s="1"/>
  <c r="O35" i="5" s="1"/>
  <c r="P35" i="5" s="1"/>
  <c r="I37" i="5"/>
  <c r="K37" i="5" s="1"/>
  <c r="E37" i="5"/>
  <c r="F37" i="5" s="1"/>
  <c r="G37" i="5"/>
  <c r="H37" i="5" s="1"/>
  <c r="J21" i="5"/>
  <c r="T21" i="5" l="1"/>
  <c r="D22" i="5" s="1"/>
  <c r="P22" i="5" s="1"/>
  <c r="R22" i="5" s="1"/>
  <c r="B22" i="5"/>
  <c r="K21" i="5"/>
  <c r="L21" i="5" s="1"/>
  <c r="N37" i="5"/>
  <c r="D38" i="5" s="1"/>
  <c r="E22" i="5"/>
  <c r="M22" i="5"/>
  <c r="O22" i="5" s="1"/>
  <c r="L37" i="5"/>
  <c r="I38" i="5" l="1"/>
  <c r="K38" i="5" s="1"/>
  <c r="E38" i="5"/>
  <c r="F38" i="5" s="1"/>
  <c r="G38" i="5"/>
  <c r="H38" i="5" s="1"/>
  <c r="R35" i="5"/>
  <c r="S35" i="5" s="1"/>
  <c r="H22" i="5"/>
  <c r="I22" i="5" l="1"/>
  <c r="N38" i="5"/>
  <c r="L38" i="5"/>
  <c r="J22" i="5"/>
  <c r="K22" i="5" s="1"/>
  <c r="D39" i="5" l="1"/>
  <c r="B23" i="5"/>
  <c r="L22" i="5"/>
  <c r="S22" i="5"/>
  <c r="O36" i="5" s="1"/>
  <c r="P36" i="5" s="1"/>
  <c r="T22" i="5"/>
  <c r="D23" i="5" s="1"/>
  <c r="P23" i="5" s="1"/>
  <c r="R23" i="5" s="1"/>
  <c r="I39" i="5" l="1"/>
  <c r="K39" i="5" s="1"/>
  <c r="E39" i="5"/>
  <c r="F39" i="5" s="1"/>
  <c r="G39" i="5"/>
  <c r="H39" i="5" s="1"/>
  <c r="E23" i="5"/>
  <c r="M23" i="5"/>
  <c r="O23" i="5" s="1"/>
  <c r="N39" i="5" l="1"/>
  <c r="R36" i="5"/>
  <c r="S36" i="5" s="1"/>
  <c r="L39" i="5"/>
  <c r="H23" i="5"/>
  <c r="I23" i="5" l="1"/>
  <c r="D40" i="5"/>
  <c r="J23" i="5"/>
  <c r="K23" i="5" s="1"/>
  <c r="I40" i="5" l="1"/>
  <c r="K40" i="5" s="1"/>
  <c r="E40" i="5"/>
  <c r="F40" i="5" s="1"/>
  <c r="G40" i="5"/>
  <c r="H40" i="5" s="1"/>
  <c r="B24" i="5"/>
  <c r="L23" i="5"/>
  <c r="S23" i="5"/>
  <c r="O37" i="5" s="1"/>
  <c r="P37" i="5" s="1"/>
  <c r="T23" i="5"/>
  <c r="D24" i="5" s="1"/>
  <c r="P24" i="5" s="1"/>
  <c r="R24" i="5" s="1"/>
  <c r="N40" i="5" l="1"/>
  <c r="D41" i="5" s="1"/>
  <c r="E24" i="5"/>
  <c r="M24" i="5"/>
  <c r="O24" i="5" s="1"/>
  <c r="L40" i="5"/>
  <c r="I41" i="5" l="1"/>
  <c r="K41" i="5" s="1"/>
  <c r="K42" i="5" s="1"/>
  <c r="E41" i="5"/>
  <c r="F41" i="5" s="1"/>
  <c r="G41" i="5"/>
  <c r="H41" i="5" s="1"/>
  <c r="H42" i="5" s="1"/>
  <c r="R37" i="5"/>
  <c r="S37" i="5" s="1"/>
  <c r="H24" i="5"/>
  <c r="I24" i="5" l="1"/>
  <c r="N41" i="5"/>
  <c r="L22" i="6" s="1"/>
  <c r="F42" i="5"/>
  <c r="L41" i="5"/>
  <c r="L42" i="5" s="1"/>
  <c r="J24" i="5"/>
  <c r="K24" i="5" s="1"/>
  <c r="L21" i="6" l="1"/>
  <c r="L23" i="6"/>
  <c r="L20" i="6"/>
  <c r="B25" i="5"/>
  <c r="L24" i="5"/>
  <c r="S24" i="5"/>
  <c r="O38" i="5" s="1"/>
  <c r="P38" i="5" s="1"/>
  <c r="T24" i="5"/>
  <c r="D25" i="5" s="1"/>
  <c r="P25" i="5" s="1"/>
  <c r="R25" i="5" s="1"/>
  <c r="E25" i="5" l="1"/>
  <c r="M25" i="5"/>
  <c r="O25" i="5" s="1"/>
  <c r="R38" i="5" l="1"/>
  <c r="S38" i="5" s="1"/>
  <c r="H25" i="5"/>
  <c r="I25" i="5" l="1"/>
  <c r="J25" i="5"/>
  <c r="K25" i="5" s="1"/>
  <c r="B26" i="5" l="1"/>
  <c r="L25" i="5"/>
  <c r="S25" i="5"/>
  <c r="O39" i="5" s="1"/>
  <c r="P39" i="5" s="1"/>
  <c r="T25" i="5"/>
  <c r="D26" i="5" s="1"/>
  <c r="P26" i="5" s="1"/>
  <c r="R26" i="5" s="1"/>
  <c r="E26" i="5" l="1"/>
  <c r="M26" i="5"/>
  <c r="O26" i="5" s="1"/>
  <c r="R39" i="5" l="1"/>
  <c r="S39" i="5" s="1"/>
  <c r="H26" i="5"/>
  <c r="I26" i="5" l="1"/>
  <c r="J26" i="5"/>
  <c r="K26" i="5" s="1"/>
  <c r="B27" i="5" l="1"/>
  <c r="L26" i="5"/>
  <c r="S26" i="5"/>
  <c r="O40" i="5" s="1"/>
  <c r="P40" i="5" s="1"/>
  <c r="T26" i="5"/>
  <c r="D27" i="5" s="1"/>
  <c r="P27" i="5" s="1"/>
  <c r="R27" i="5" s="1"/>
  <c r="E27" i="5" l="1"/>
  <c r="M27" i="5"/>
  <c r="R28" i="5"/>
  <c r="O27" i="5" l="1"/>
  <c r="O28" i="5" s="1"/>
  <c r="R40" i="5"/>
  <c r="S40" i="5" s="1"/>
  <c r="H27" i="5"/>
  <c r="I27" i="5" l="1"/>
  <c r="I28" i="5" s="1"/>
  <c r="J27" i="5"/>
  <c r="K27" i="5" s="1"/>
  <c r="L27" i="5" l="1"/>
  <c r="H23" i="6" s="1"/>
  <c r="S27" i="5"/>
  <c r="T27" i="5"/>
  <c r="H22" i="6" l="1"/>
  <c r="H21" i="6"/>
  <c r="H20" i="6"/>
  <c r="S28" i="5"/>
  <c r="O41" i="5"/>
  <c r="E23" i="6" l="1"/>
  <c r="R41" i="5"/>
  <c r="S41" i="5" s="1"/>
  <c r="P41" i="5"/>
  <c r="O42" i="5"/>
  <c r="Q11" i="5" s="1"/>
  <c r="E22" i="6" l="1"/>
  <c r="P42" i="5"/>
  <c r="C28" i="6" l="1"/>
  <c r="I28" i="6"/>
  <c r="E21" i="6"/>
  <c r="Q10" i="5"/>
</calcChain>
</file>

<file path=xl/sharedStrings.xml><?xml version="1.0" encoding="utf-8"?>
<sst xmlns="http://schemas.openxmlformats.org/spreadsheetml/2006/main" count="156" uniqueCount="129">
  <si>
    <t>Current tax rate</t>
  </si>
  <si>
    <t>CGT</t>
  </si>
  <si>
    <t>Yes</t>
  </si>
  <si>
    <t>No</t>
  </si>
  <si>
    <t>Tax on interest</t>
  </si>
  <si>
    <t>Withdrawals</t>
  </si>
  <si>
    <t>Withdrawal gain</t>
  </si>
  <si>
    <t>Capital growth</t>
  </si>
  <si>
    <t>Dividend</t>
  </si>
  <si>
    <t>PSA</t>
  </si>
  <si>
    <t>V1</t>
  </si>
  <si>
    <t>Date</t>
  </si>
  <si>
    <t>Version</t>
  </si>
  <si>
    <t>Comments</t>
  </si>
  <si>
    <t>Allowance used</t>
  </si>
  <si>
    <t>CGT AEA yearly</t>
  </si>
  <si>
    <t>End of year</t>
  </si>
  <si>
    <t>Opening value</t>
  </si>
  <si>
    <t>CGT AEA</t>
  </si>
  <si>
    <t>Gain carried</t>
  </si>
  <si>
    <t>Interest</t>
  </si>
  <si>
    <t>Div allowance</t>
  </si>
  <si>
    <t>Date produced</t>
  </si>
  <si>
    <t>Total tax</t>
  </si>
  <si>
    <t>Tax on gain</t>
  </si>
  <si>
    <t>Gain realised</t>
  </si>
  <si>
    <t>Gain remaining</t>
  </si>
  <si>
    <t>Cost</t>
  </si>
  <si>
    <t>Tax on dividends</t>
  </si>
  <si>
    <t>Dividends</t>
  </si>
  <si>
    <t>Closing net value</t>
  </si>
  <si>
    <t>Tax rates</t>
  </si>
  <si>
    <t>Total (after charges)</t>
  </si>
  <si>
    <t>Year-by-year breakdown</t>
  </si>
  <si>
    <t>Years</t>
  </si>
  <si>
    <t>Current GIA value</t>
  </si>
  <si>
    <t>Carried gain</t>
  </si>
  <si>
    <t xml:space="preserve">Tax charge </t>
  </si>
  <si>
    <t>Tax charge</t>
  </si>
  <si>
    <t xml:space="preserve">Life Co </t>
  </si>
  <si>
    <t>Total tax charge</t>
  </si>
  <si>
    <t>Retain collective</t>
  </si>
  <si>
    <t>Summary</t>
  </si>
  <si>
    <t>Tax saving over the 10 years</t>
  </si>
  <si>
    <t>Years to recoup initial tax</t>
  </si>
  <si>
    <t>Suitability considerations</t>
  </si>
  <si>
    <t>Invest in Collective Investment Bond</t>
  </si>
  <si>
    <t>Launch of tool</t>
  </si>
  <si>
    <t>GIA:</t>
  </si>
  <si>
    <t>Quilter onshore Collective Investment Bond:</t>
  </si>
  <si>
    <t>Annual net return gain/loss</t>
  </si>
  <si>
    <t>1. Figures for the General Investment Account reflect the fact that income will be distributed as dividends or interest yearly. The calculator shows the personal tax paid during term based on the 'current tax rate' of the investor. The personal savings allowance and dividend allowance will apply as appropriate at the end of each year. Onshore bond figures assume that tax is deducted from the fund at the rate of 20% a year on capital growth, 20% on interest and 0% on dividends.</t>
  </si>
  <si>
    <t>4. The calculator does not include the effect of any product charges or product conditions such as minimum investments.</t>
  </si>
  <si>
    <t>5. The calculator is designed to give a general demonstration of the comparative returns from a General Investment Account and an onshore bonds net of tax. It should not be taken as offering advice or any recommendation. It is not providing a personalised illustration, this should be obtained prior to using this calculator. Every care has been taken as to its accuracy, but it must be appreciated that neither Quilter nor its representatives can accept any responsibility for loss, however caused, suffered by any person who has acted or refrained from acting as a result of material contained in this calculator.</t>
  </si>
  <si>
    <t xml:space="preserve">6. Annual withdrawals entered are deducted on the last day of each respective year. </t>
  </si>
  <si>
    <t>Assumption of allowances used in future years</t>
  </si>
  <si>
    <t>CGT allowance remaing this year?</t>
  </si>
  <si>
    <t xml:space="preserve">Current position </t>
  </si>
  <si>
    <t>GIA summary</t>
  </si>
  <si>
    <t>CIB summary</t>
  </si>
  <si>
    <t>Comparison summary</t>
  </si>
  <si>
    <t>Year in which initial tax is recouped</t>
  </si>
  <si>
    <t>Current gain (£0 if at a loss)</t>
  </si>
  <si>
    <t>Tax saving/loss by moving to CIB</t>
  </si>
  <si>
    <t>CGT allowance used this year?</t>
  </si>
  <si>
    <t>Initial CGT bill</t>
  </si>
  <si>
    <t>Year</t>
  </si>
  <si>
    <t>Recouped?</t>
  </si>
  <si>
    <t>Cumulative CIB v GIA</t>
  </si>
  <si>
    <t>Cumulative tax</t>
  </si>
  <si>
    <t>Tax saving/loss</t>
  </si>
  <si>
    <t>Illustrative investment returns in future years</t>
  </si>
  <si>
    <t xml:space="preserve">Step 1. Current position </t>
  </si>
  <si>
    <t>Step 2. Assumption of allowances used in future years</t>
  </si>
  <si>
    <t>Step 3. Illustrative investment returns in future years</t>
  </si>
  <si>
    <t xml:space="preserve">Post sign off </t>
  </si>
  <si>
    <t>V2</t>
  </si>
  <si>
    <t>Post BDA review</t>
  </si>
  <si>
    <t>V3</t>
  </si>
  <si>
    <t>Name changed and notes added following Compliance comments</t>
  </si>
  <si>
    <t>Cells named and formulas adjusted to allow easier maintenance</t>
  </si>
  <si>
    <t>CGT rates</t>
  </si>
  <si>
    <t>Divrates</t>
  </si>
  <si>
    <t>Life Co div</t>
  </si>
  <si>
    <t xml:space="preserve">   Dividend allowance used</t>
  </si>
  <si>
    <t xml:space="preserve">   Personal Savings Allowance used</t>
  </si>
  <si>
    <t xml:space="preserve">   CGT allowance used</t>
  </si>
  <si>
    <t xml:space="preserve">   Use remaining CGT allowance for GIA</t>
  </si>
  <si>
    <t xml:space="preserve">   Capital Growth</t>
  </si>
  <si>
    <t xml:space="preserve">   Interest yield</t>
  </si>
  <si>
    <t xml:space="preserve">   Dividend yield</t>
  </si>
  <si>
    <t xml:space="preserve">   Withdrawal % of current value</t>
  </si>
  <si>
    <r>
      <t xml:space="preserve">Tax </t>
    </r>
    <r>
      <rPr>
        <b/>
        <u/>
        <sz val="11"/>
        <color theme="1"/>
        <rFont val="Arial"/>
        <family val="2"/>
      </rPr>
      <t>if</t>
    </r>
    <r>
      <rPr>
        <b/>
        <sz val="11"/>
        <color theme="1"/>
        <rFont val="Arial"/>
        <family val="2"/>
      </rPr>
      <t xml:space="preserve"> GIA sold</t>
    </r>
  </si>
  <si>
    <t xml:space="preserve">   Net value of GIA after 10 years</t>
  </si>
  <si>
    <t xml:space="preserve">   Overall net return on GIA</t>
  </si>
  <si>
    <t xml:space="preserve">   Yearly net return</t>
  </si>
  <si>
    <t xml:space="preserve">   Gain liable to CGT after 10 years</t>
  </si>
  <si>
    <t xml:space="preserve">   Net value of CIB after 10 years</t>
  </si>
  <si>
    <t xml:space="preserve">   Overall net return on CIB</t>
  </si>
  <si>
    <t xml:space="preserve">   Gain liable to Income Tax after 10 years</t>
  </si>
  <si>
    <t xml:space="preserve">  Dividend allowance used</t>
  </si>
  <si>
    <t xml:space="preserve">  Personal Savings Allowance used</t>
  </si>
  <si>
    <t xml:space="preserve">  CGT allowance used</t>
  </si>
  <si>
    <t xml:space="preserve">  Use remaining CGT allowance?</t>
  </si>
  <si>
    <t xml:space="preserve">  Capital Growth</t>
  </si>
  <si>
    <t xml:space="preserve">  Interest yield</t>
  </si>
  <si>
    <t xml:space="preserve">  Dividend yield</t>
  </si>
  <si>
    <t xml:space="preserve">  Withdrawal % of current value</t>
  </si>
  <si>
    <r>
      <t xml:space="preserve">Tax </t>
    </r>
    <r>
      <rPr>
        <b/>
        <u/>
        <sz val="10.5"/>
        <color theme="1"/>
        <rFont val="Arial"/>
        <family val="2"/>
      </rPr>
      <t>if</t>
    </r>
    <r>
      <rPr>
        <b/>
        <sz val="10.5"/>
        <color theme="1"/>
        <rFont val="Arial"/>
        <family val="2"/>
      </rPr>
      <t xml:space="preserve"> GIA sold</t>
    </r>
  </si>
  <si>
    <t>This tool compares retaining an existing GIA with selling the GIA and investing the proceeds into the Quilter Collective Investment Bond (CIB). The same returns (excluding charges) are compared within each product over a 10 year holding period.</t>
  </si>
  <si>
    <t>For financial advisers only</t>
  </si>
  <si>
    <t>General Investment Account (GIA) - Ongoing Tax Comparison Tool</t>
  </si>
  <si>
    <t xml:space="preserve">- This type of product is suitable for the medium to long term. </t>
  </si>
  <si>
    <t>- Access to a wide choice of collective investments such as Unit Trust and OEICs.</t>
  </si>
  <si>
    <t>5. The calculator is designed to give a general demonstration of the comparative returns from a General Investment Account and a Collective Investment Bond net of tax. It should not be taken as offering advice or any recommendation. It is not providing a personalised illustration, this should be obtained prior to using this calculator. Every care has been taken as to its accuracy, but it must be appreciated that neither Quilter nor its representatives can accept any responsibility for loss, however caused, suffered by any person who has acted or refrained from acting as a result of material contained in this calculator.</t>
  </si>
  <si>
    <t>8. The illustrative returns entered have been used to show the potential tax suffered if achieved within a General Investment Account and a Collective Investment Bond. Investment returns are not guaranteed and as any tax savings or losses will vary depending on the underlying investment performance these are also not guaranteed.</t>
  </si>
  <si>
    <t xml:space="preserve"> General Investment Account (GIA) - Ongoing Tax Comparison Tool</t>
  </si>
  <si>
    <t>- Income and gains made must be reported to HMRC on an arising basis (the tax year in which income paid/gains realised)."</t>
  </si>
  <si>
    <t>- A GIA can easily be used to source a client's annual ISA contribution.</t>
  </si>
  <si>
    <t>- A GIA can provide access to wider investment choices for example, Exchange Traded Funds, Investment Trusts &amp; Shares.</t>
  </si>
  <si>
    <t>- Investments within the GIA can be transferred in specie to an alternative platform.</t>
  </si>
  <si>
    <t>- The CIB is taxed under an event-based tax regime known as Chargeable Events. This avoids reporting on an arising basis.</t>
  </si>
  <si>
    <t>- When Chargeable Event gains are made (when money is removed from the bond) Income Tax rates will apply.</t>
  </si>
  <si>
    <t>v3.2</t>
  </si>
  <si>
    <t>CGT rate changes</t>
  </si>
  <si>
    <t>Post budget 24 - Oct</t>
  </si>
  <si>
    <t>2. Figures for the General Investment Account assume that any Capital Gains Tax (CGT) due on a withdrawal is payable at 24% where the current tax rate is 40% or 45% and 18% otherwise, i.e. it is assumed that the gain does not push a nil or basic rate taxpayer into the higher CGT bracket. CGT, dividend and personal savings allowances are assumed to increase at 2% p.a. from 2028/29.</t>
  </si>
  <si>
    <t>7. The above is based on our understanding of current (October 2024) taxation, legislation and HM Revenue &amp; Customs practice, all of which are liable to change without notice. The impact of taxation (and any tax reliefs) depends on individual circumstances.</t>
  </si>
  <si>
    <t xml:space="preserve">3. Where 'Use remaining CGT allowance for GIA' is selected the tool will increase the ongoing base costs by the available CGT annual exempt amount at the end of each respective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</si>
</sst>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8" x14ac:knownFonts="1">
    <font>
      <sz val="11"/>
      <color theme="1"/>
      <name val="Times New Roman"/>
      <family val="2"/>
    </font>
    <font>
      <sz val="11"/>
      <color theme="1"/>
      <name val="Arial"/>
      <family val="2"/>
    </font>
    <font>
      <b/>
      <u/>
      <sz val="14"/>
      <color theme="1"/>
      <name val="Arial"/>
      <family val="2"/>
    </font>
    <font>
      <b/>
      <sz val="11"/>
      <color theme="1"/>
      <name val="Arial"/>
      <family val="2"/>
    </font>
    <font>
      <b/>
      <u/>
      <sz val="12"/>
      <color theme="1"/>
      <name val="Arial"/>
      <family val="2"/>
    </font>
    <font>
      <b/>
      <sz val="12"/>
      <color theme="1"/>
      <name val="Arial"/>
      <family val="2"/>
    </font>
    <font>
      <sz val="12"/>
      <color theme="1"/>
      <name val="Arial"/>
      <family val="2"/>
    </font>
    <font>
      <b/>
      <sz val="12"/>
      <color theme="0"/>
      <name val="Arial"/>
      <family val="2"/>
    </font>
    <font>
      <sz val="11"/>
      <color theme="0"/>
      <name val="Arial"/>
      <family val="2"/>
    </font>
    <font>
      <sz val="11"/>
      <name val="Arial"/>
      <family val="2"/>
    </font>
    <font>
      <b/>
      <u/>
      <sz val="11"/>
      <color theme="1"/>
      <name val="Arial"/>
      <family val="2"/>
    </font>
    <font>
      <sz val="10"/>
      <color theme="1"/>
      <name val="Arial"/>
      <family val="2"/>
    </font>
    <font>
      <sz val="10"/>
      <name val="Arial"/>
      <family val="2"/>
    </font>
    <font>
      <b/>
      <sz val="11"/>
      <color theme="0"/>
      <name val="Arial"/>
      <family val="2"/>
    </font>
    <font>
      <b/>
      <sz val="10"/>
      <color theme="1"/>
      <name val="Arial"/>
      <family val="2"/>
    </font>
    <font>
      <sz val="12"/>
      <color theme="0"/>
      <name val="Arial"/>
      <family val="2"/>
    </font>
    <font>
      <b/>
      <sz val="10.5"/>
      <color theme="1"/>
      <name val="Arial"/>
      <family val="2"/>
    </font>
    <font>
      <b/>
      <u/>
      <sz val="10.5"/>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ck">
        <color rgb="FF6EAB24"/>
      </left>
      <right/>
      <top style="thick">
        <color rgb="FF6EAB24"/>
      </top>
      <bottom/>
      <diagonal/>
    </border>
    <border>
      <left/>
      <right/>
      <top style="thick">
        <color rgb="FF6EAB24"/>
      </top>
      <bottom/>
      <diagonal/>
    </border>
    <border>
      <left/>
      <right style="thick">
        <color rgb="FF6EAB24"/>
      </right>
      <top style="thick">
        <color rgb="FF6EAB24"/>
      </top>
      <bottom/>
      <diagonal/>
    </border>
    <border>
      <left style="thick">
        <color rgb="FF6EAB24"/>
      </left>
      <right/>
      <top/>
      <bottom/>
      <diagonal/>
    </border>
    <border>
      <left/>
      <right style="thick">
        <color rgb="FF6EAB24"/>
      </right>
      <top/>
      <bottom/>
      <diagonal/>
    </border>
    <border>
      <left style="thick">
        <color rgb="FF6EAB24"/>
      </left>
      <right/>
      <top/>
      <bottom style="thick">
        <color rgb="FF6EAB24"/>
      </bottom>
      <diagonal/>
    </border>
    <border>
      <left/>
      <right/>
      <top/>
      <bottom style="thick">
        <color rgb="FF6EAB24"/>
      </bottom>
      <diagonal/>
    </border>
    <border>
      <left/>
      <right style="thick">
        <color rgb="FF6EAB24"/>
      </right>
      <top/>
      <bottom style="thick">
        <color rgb="FF6EAB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style="thin">
        <color indexed="64"/>
      </left>
      <right/>
      <top/>
      <bottom/>
      <diagonal/>
    </border>
    <border>
      <left/>
      <right/>
      <top style="thin">
        <color indexed="64"/>
      </top>
      <bottom/>
      <diagonal/>
    </border>
  </borders>
  <cellStyleXfs count="1">
    <xf numFmtId="0" fontId="0" fillId="0" borderId="0"/>
  </cellStyleXfs>
  <cellXfs count="146">
    <xf numFmtId="0" fontId="0" fillId="0" borderId="0" xfId="0"/>
    <xf numFmtId="9" fontId="0" fillId="0" borderId="0" xfId="0" applyNumberFormat="1"/>
    <xf numFmtId="10" fontId="0" fillId="0" borderId="0" xfId="0" applyNumberFormat="1"/>
    <xf numFmtId="0" fontId="0" fillId="0" borderId="8" xfId="0" applyBorder="1"/>
    <xf numFmtId="17" fontId="0" fillId="0" borderId="0" xfId="0" applyNumberFormat="1"/>
    <xf numFmtId="164" fontId="0" fillId="0" borderId="0" xfId="0" applyNumberFormat="1"/>
    <xf numFmtId="0" fontId="1" fillId="0" borderId="0" xfId="0" applyFont="1" applyProtection="1"/>
    <xf numFmtId="0" fontId="1" fillId="0" borderId="5" xfId="0" applyFont="1" applyBorder="1" applyProtection="1"/>
    <xf numFmtId="0" fontId="1" fillId="0" borderId="6" xfId="0" applyFont="1" applyBorder="1" applyProtection="1"/>
    <xf numFmtId="0" fontId="1" fillId="0" borderId="7" xfId="0" applyFont="1" applyBorder="1" applyProtection="1"/>
    <xf numFmtId="0" fontId="1" fillId="0" borderId="8" xfId="0" applyFont="1" applyBorder="1" applyProtection="1"/>
    <xf numFmtId="0" fontId="1" fillId="0" borderId="0" xfId="0" applyFont="1" applyBorder="1" applyProtection="1"/>
    <xf numFmtId="0" fontId="1" fillId="0" borderId="9" xfId="0" applyFont="1" applyBorder="1" applyProtection="1"/>
    <xf numFmtId="0" fontId="4" fillId="0" borderId="0" xfId="0" applyFont="1" applyProtection="1"/>
    <xf numFmtId="0" fontId="3" fillId="0" borderId="0" xfId="0" applyFont="1" applyBorder="1" applyProtection="1"/>
    <xf numFmtId="0" fontId="5" fillId="0" borderId="0" xfId="0" applyFont="1" applyProtection="1"/>
    <xf numFmtId="0" fontId="1" fillId="0" borderId="4" xfId="0" applyFont="1" applyBorder="1" applyProtection="1"/>
    <xf numFmtId="165" fontId="5" fillId="2" borderId="1" xfId="0" applyNumberFormat="1" applyFont="1" applyFill="1" applyBorder="1" applyProtection="1">
      <protection locked="0"/>
    </xf>
    <xf numFmtId="9" fontId="5" fillId="2" borderId="1" xfId="0" applyNumberFormat="1" applyFont="1" applyFill="1" applyBorder="1" applyProtection="1">
      <protection locked="0"/>
    </xf>
    <xf numFmtId="0" fontId="6" fillId="0" borderId="0" xfId="0" applyFont="1" applyProtection="1"/>
    <xf numFmtId="10" fontId="5" fillId="2" borderId="1" xfId="0" applyNumberFormat="1" applyFont="1" applyFill="1" applyBorder="1" applyProtection="1">
      <protection locked="0"/>
    </xf>
    <xf numFmtId="10" fontId="5" fillId="0" borderId="1" xfId="0" applyNumberFormat="1" applyFont="1" applyBorder="1" applyProtection="1"/>
    <xf numFmtId="10" fontId="5" fillId="0" borderId="0" xfId="0" applyNumberFormat="1" applyFont="1" applyBorder="1" applyProtection="1"/>
    <xf numFmtId="0" fontId="3" fillId="0" borderId="0" xfId="0" applyFont="1" applyFill="1" applyBorder="1" applyProtection="1"/>
    <xf numFmtId="0" fontId="5" fillId="2" borderId="1" xfId="0" applyFont="1" applyFill="1" applyBorder="1" applyAlignment="1" applyProtection="1">
      <alignment horizontal="right"/>
      <protection locked="0"/>
    </xf>
    <xf numFmtId="0" fontId="3" fillId="0" borderId="0" xfId="0" applyFont="1" applyProtection="1"/>
    <xf numFmtId="0" fontId="3" fillId="0" borderId="2" xfId="0" applyFont="1" applyFill="1" applyBorder="1" applyProtection="1"/>
    <xf numFmtId="14" fontId="5" fillId="0" borderId="0" xfId="0" applyNumberFormat="1" applyFont="1" applyProtection="1"/>
    <xf numFmtId="14" fontId="3" fillId="0" borderId="0" xfId="0" applyNumberFormat="1" applyFont="1" applyProtection="1"/>
    <xf numFmtId="14" fontId="3" fillId="0" borderId="1" xfId="0" applyNumberFormat="1" applyFont="1" applyBorder="1" applyProtection="1"/>
    <xf numFmtId="0" fontId="7" fillId="0" borderId="0" xfId="0" applyFont="1" applyAlignment="1" applyProtection="1">
      <alignment horizontal="left" vertical="center" wrapText="1" indent="1"/>
    </xf>
    <xf numFmtId="0" fontId="8" fillId="0" borderId="8" xfId="0" applyFont="1" applyBorder="1" applyProtection="1"/>
    <xf numFmtId="165" fontId="8" fillId="0" borderId="8" xfId="0" applyNumberFormat="1" applyFont="1" applyBorder="1" applyProtection="1"/>
    <xf numFmtId="165" fontId="6" fillId="0" borderId="0" xfId="0" applyNumberFormat="1" applyFont="1" applyBorder="1" applyProtection="1"/>
    <xf numFmtId="165" fontId="5" fillId="0" borderId="1" xfId="0" applyNumberFormat="1" applyFont="1" applyBorder="1" applyProtection="1"/>
    <xf numFmtId="164" fontId="8" fillId="0" borderId="8" xfId="0" applyNumberFormat="1" applyFont="1" applyBorder="1" applyProtection="1"/>
    <xf numFmtId="0" fontId="6" fillId="0" borderId="0" xfId="0" applyFont="1" applyBorder="1" applyProtection="1"/>
    <xf numFmtId="10" fontId="6" fillId="0" borderId="0" xfId="0" applyNumberFormat="1" applyFont="1" applyBorder="1" applyProtection="1"/>
    <xf numFmtId="0" fontId="4" fillId="0" borderId="0" xfId="0" applyFont="1" applyBorder="1" applyProtection="1"/>
    <xf numFmtId="165" fontId="6" fillId="2" borderId="0" xfId="0" applyNumberFormat="1" applyFont="1" applyFill="1" applyBorder="1" applyProtection="1"/>
    <xf numFmtId="0" fontId="1" fillId="0" borderId="10" xfId="0" applyFont="1" applyBorder="1" applyProtection="1"/>
    <xf numFmtId="0" fontId="6" fillId="0" borderId="11" xfId="0" applyFont="1" applyBorder="1" applyProtection="1"/>
    <xf numFmtId="165" fontId="6" fillId="0" borderId="11" xfId="0" applyNumberFormat="1" applyFont="1" applyBorder="1" applyProtection="1"/>
    <xf numFmtId="0" fontId="1" fillId="0" borderId="12" xfId="0" applyFont="1" applyBorder="1" applyProtection="1"/>
    <xf numFmtId="165" fontId="8" fillId="0" borderId="0" xfId="0" applyNumberFormat="1" applyFont="1" applyBorder="1" applyProtection="1"/>
    <xf numFmtId="0" fontId="10" fillId="0" borderId="0" xfId="0" applyFont="1" applyProtection="1"/>
    <xf numFmtId="165" fontId="3" fillId="0" borderId="0" xfId="0" applyNumberFormat="1" applyFont="1" applyBorder="1" applyProtection="1"/>
    <xf numFmtId="165" fontId="1" fillId="0" borderId="0" xfId="0" applyNumberFormat="1" applyFont="1" applyBorder="1" applyProtection="1"/>
    <xf numFmtId="165" fontId="3" fillId="0" borderId="0" xfId="0" applyNumberFormat="1" applyFont="1" applyBorder="1" applyAlignment="1" applyProtection="1">
      <alignment wrapText="1"/>
    </xf>
    <xf numFmtId="165" fontId="3" fillId="0" borderId="0" xfId="0" applyNumberFormat="1" applyFont="1" applyBorder="1" applyAlignment="1" applyProtection="1">
      <alignment vertical="top" wrapText="1"/>
    </xf>
    <xf numFmtId="165" fontId="3" fillId="0" borderId="0" xfId="0" applyNumberFormat="1" applyFont="1" applyBorder="1" applyAlignment="1" applyProtection="1"/>
    <xf numFmtId="165" fontId="1" fillId="0" borderId="0" xfId="0" applyNumberFormat="1" applyFont="1" applyBorder="1" applyAlignment="1" applyProtection="1"/>
    <xf numFmtId="165" fontId="3" fillId="2" borderId="0" xfId="0" applyNumberFormat="1" applyFont="1" applyFill="1" applyBorder="1" applyProtection="1"/>
    <xf numFmtId="0" fontId="3" fillId="2" borderId="0" xfId="0" applyFont="1" applyFill="1" applyBorder="1" applyProtection="1"/>
    <xf numFmtId="0" fontId="11" fillId="0" borderId="0" xfId="0" applyFont="1" applyBorder="1" applyProtection="1"/>
    <xf numFmtId="0" fontId="11" fillId="0" borderId="0" xfId="0" applyFont="1" applyProtection="1"/>
    <xf numFmtId="0" fontId="1" fillId="0" borderId="0" xfId="0" applyFont="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0" xfId="0" applyFont="1" applyBorder="1"/>
    <xf numFmtId="0" fontId="1" fillId="0" borderId="9" xfId="0" applyFont="1" applyBorder="1"/>
    <xf numFmtId="0" fontId="4" fillId="0" borderId="0" xfId="0" applyFont="1"/>
    <xf numFmtId="0" fontId="3" fillId="0" borderId="0" xfId="0" applyFont="1" applyBorder="1"/>
    <xf numFmtId="0" fontId="1" fillId="0" borderId="4" xfId="0" applyFont="1" applyBorder="1"/>
    <xf numFmtId="165" fontId="5" fillId="0" borderId="1" xfId="0" applyNumberFormat="1" applyFont="1" applyFill="1" applyBorder="1" applyProtection="1"/>
    <xf numFmtId="9" fontId="5" fillId="0" borderId="1" xfId="0" applyNumberFormat="1" applyFont="1" applyFill="1" applyBorder="1" applyProtection="1"/>
    <xf numFmtId="0" fontId="5" fillId="0" borderId="0" xfId="0" applyFont="1"/>
    <xf numFmtId="0" fontId="6" fillId="0" borderId="0" xfId="0" applyFont="1"/>
    <xf numFmtId="10" fontId="5" fillId="0" borderId="1" xfId="0" applyNumberFormat="1" applyFont="1" applyFill="1" applyBorder="1" applyProtection="1"/>
    <xf numFmtId="10" fontId="5" fillId="0" borderId="1" xfId="0" applyNumberFormat="1" applyFont="1" applyBorder="1"/>
    <xf numFmtId="165" fontId="3" fillId="0" borderId="4" xfId="0" applyNumberFormat="1" applyFont="1" applyBorder="1"/>
    <xf numFmtId="165" fontId="3" fillId="0" borderId="1" xfId="0" applyNumberFormat="1" applyFont="1" applyBorder="1"/>
    <xf numFmtId="10" fontId="5" fillId="0" borderId="0" xfId="0" applyNumberFormat="1" applyFont="1" applyBorder="1"/>
    <xf numFmtId="0" fontId="9" fillId="3" borderId="0" xfId="0" applyFont="1" applyFill="1"/>
    <xf numFmtId="1" fontId="3" fillId="0" borderId="4" xfId="0" applyNumberFormat="1" applyFont="1" applyBorder="1"/>
    <xf numFmtId="1" fontId="3" fillId="0" borderId="1" xfId="0" applyNumberFormat="1" applyFont="1" applyBorder="1" applyAlignment="1">
      <alignment horizontal="right"/>
    </xf>
    <xf numFmtId="9" fontId="5" fillId="0" borderId="1" xfId="0" applyNumberFormat="1" applyFont="1" applyFill="1" applyBorder="1" applyAlignment="1" applyProtection="1">
      <alignment horizontal="right"/>
    </xf>
    <xf numFmtId="0" fontId="5" fillId="0" borderId="1" xfId="0" applyFont="1" applyBorder="1" applyAlignment="1">
      <alignment horizontal="right"/>
    </xf>
    <xf numFmtId="0" fontId="3" fillId="0" borderId="0" xfId="0" applyFont="1"/>
    <xf numFmtId="0" fontId="3" fillId="0" borderId="0" xfId="0" applyFont="1" applyFill="1" applyBorder="1"/>
    <xf numFmtId="0" fontId="3" fillId="0" borderId="2" xfId="0" applyFont="1" applyFill="1" applyBorder="1"/>
    <xf numFmtId="14" fontId="3" fillId="0" borderId="0" xfId="0" applyNumberFormat="1" applyFont="1"/>
    <xf numFmtId="14" fontId="3" fillId="0" borderId="1" xfId="0" applyNumberFormat="1" applyFont="1" applyBorder="1"/>
    <xf numFmtId="0" fontId="7" fillId="0" borderId="0" xfId="0" applyFont="1" applyAlignment="1">
      <alignment horizontal="left" vertical="center" wrapText="1" indent="1"/>
    </xf>
    <xf numFmtId="0" fontId="8" fillId="0" borderId="8" xfId="0" applyFont="1" applyBorder="1"/>
    <xf numFmtId="0" fontId="3" fillId="0" borderId="13" xfId="0" applyFont="1" applyBorder="1"/>
    <xf numFmtId="0" fontId="3" fillId="0" borderId="13" xfId="0" applyFont="1" applyFill="1" applyBorder="1"/>
    <xf numFmtId="0" fontId="8" fillId="0" borderId="9" xfId="0" applyFont="1" applyBorder="1"/>
    <xf numFmtId="165" fontId="8" fillId="0" borderId="8" xfId="0" applyNumberFormat="1" applyFont="1" applyBorder="1"/>
    <xf numFmtId="164" fontId="8" fillId="0" borderId="8" xfId="0" applyNumberFormat="1" applyFont="1" applyBorder="1"/>
    <xf numFmtId="165" fontId="1" fillId="0" borderId="15" xfId="0" applyNumberFormat="1" applyFont="1" applyBorder="1"/>
    <xf numFmtId="165" fontId="1" fillId="0" borderId="0" xfId="0" applyNumberFormat="1" applyFont="1"/>
    <xf numFmtId="165" fontId="13" fillId="0" borderId="0" xfId="0" applyNumberFormat="1" applyFont="1" applyBorder="1"/>
    <xf numFmtId="165" fontId="1" fillId="0" borderId="13" xfId="0" applyNumberFormat="1" applyFont="1" applyBorder="1"/>
    <xf numFmtId="0" fontId="13" fillId="0" borderId="0" xfId="0" applyFont="1" applyFill="1" applyBorder="1"/>
    <xf numFmtId="165" fontId="15" fillId="0" borderId="0" xfId="0" applyNumberFormat="1" applyFont="1" applyBorder="1"/>
    <xf numFmtId="0" fontId="14" fillId="0" borderId="16" xfId="0" applyFont="1" applyBorder="1"/>
    <xf numFmtId="165" fontId="1" fillId="0" borderId="16" xfId="0" applyNumberFormat="1" applyFont="1" applyBorder="1"/>
    <xf numFmtId="165" fontId="9" fillId="0" borderId="15" xfId="0" applyNumberFormat="1" applyFont="1" applyBorder="1"/>
    <xf numFmtId="1" fontId="15" fillId="0" borderId="0" xfId="0" applyNumberFormat="1" applyFont="1" applyFill="1" applyBorder="1"/>
    <xf numFmtId="1" fontId="6" fillId="0" borderId="17" xfId="0" applyNumberFormat="1" applyFont="1" applyFill="1" applyBorder="1"/>
    <xf numFmtId="165" fontId="1" fillId="0" borderId="17" xfId="0" applyNumberFormat="1" applyFont="1" applyBorder="1"/>
    <xf numFmtId="165" fontId="1" fillId="0" borderId="0" xfId="0" applyNumberFormat="1" applyFont="1" applyBorder="1"/>
    <xf numFmtId="0" fontId="6" fillId="0" borderId="0" xfId="0" applyFont="1" applyBorder="1"/>
    <xf numFmtId="165" fontId="6" fillId="0" borderId="0" xfId="0" applyNumberFormat="1" applyFont="1" applyBorder="1"/>
    <xf numFmtId="0" fontId="1" fillId="0" borderId="10" xfId="0" applyFont="1" applyBorder="1"/>
    <xf numFmtId="0" fontId="1" fillId="0" borderId="11" xfId="0" applyFont="1" applyBorder="1"/>
    <xf numFmtId="0" fontId="1" fillId="0" borderId="12" xfId="0" applyFont="1" applyBorder="1"/>
    <xf numFmtId="0" fontId="10" fillId="0" borderId="0" xfId="0" applyFont="1"/>
    <xf numFmtId="0" fontId="16" fillId="0" borderId="0" xfId="0" applyFont="1"/>
    <xf numFmtId="0" fontId="16" fillId="0" borderId="0" xfId="0" applyFont="1" applyProtection="1"/>
    <xf numFmtId="0" fontId="16" fillId="0" borderId="0" xfId="0" applyFont="1" applyFill="1" applyBorder="1" applyProtection="1"/>
    <xf numFmtId="0" fontId="1" fillId="0" borderId="13" xfId="0" applyFont="1" applyBorder="1"/>
    <xf numFmtId="165" fontId="1" fillId="0" borderId="14" xfId="0" applyNumberFormat="1" applyFont="1" applyBorder="1"/>
    <xf numFmtId="165" fontId="1" fillId="0" borderId="15" xfId="0" applyNumberFormat="1" applyFont="1" applyFill="1" applyBorder="1"/>
    <xf numFmtId="165" fontId="3" fillId="0" borderId="13" xfId="0" applyNumberFormat="1" applyFont="1" applyBorder="1" applyAlignment="1">
      <alignment wrapText="1"/>
    </xf>
    <xf numFmtId="0" fontId="3" fillId="0" borderId="13" xfId="0" applyFont="1" applyBorder="1" applyAlignment="1">
      <alignment wrapText="1"/>
    </xf>
    <xf numFmtId="1" fontId="1" fillId="0" borderId="13" xfId="0" applyNumberFormat="1" applyFont="1" applyBorder="1"/>
    <xf numFmtId="1" fontId="1" fillId="0" borderId="13" xfId="0" applyNumberFormat="1" applyFont="1" applyFill="1" applyBorder="1"/>
    <xf numFmtId="165" fontId="1" fillId="3" borderId="13" xfId="0" applyNumberFormat="1" applyFont="1" applyFill="1" applyBorder="1"/>
    <xf numFmtId="1" fontId="5" fillId="0" borderId="1" xfId="0" applyNumberFormat="1" applyFont="1" applyBorder="1" applyAlignment="1" applyProtection="1">
      <alignment horizontal="right"/>
    </xf>
    <xf numFmtId="0" fontId="2" fillId="0" borderId="0" xfId="0" applyFont="1" applyAlignment="1" applyProtection="1"/>
    <xf numFmtId="0" fontId="11" fillId="0" borderId="0" xfId="0" applyFont="1" applyBorder="1" applyAlignment="1" applyProtection="1">
      <alignment horizontal="left" vertical="center" wrapText="1"/>
    </xf>
    <xf numFmtId="0" fontId="3" fillId="0" borderId="0" xfId="0" applyFont="1" applyAlignment="1" applyProtection="1">
      <alignment horizontal="left" vertical="top" wrapText="1"/>
    </xf>
    <xf numFmtId="0" fontId="11" fillId="2" borderId="0" xfId="0" applyFont="1" applyFill="1" applyBorder="1" applyAlignment="1" applyProtection="1">
      <alignment horizontal="left" vertical="center" wrapText="1"/>
    </xf>
    <xf numFmtId="0" fontId="11" fillId="2" borderId="0" xfId="0" quotePrefix="1" applyFont="1" applyFill="1" applyBorder="1" applyAlignment="1" applyProtection="1">
      <alignment horizontal="left" wrapText="1"/>
    </xf>
    <xf numFmtId="165" fontId="11" fillId="2" borderId="0" xfId="0" quotePrefix="1" applyNumberFormat="1" applyFont="1" applyFill="1" applyBorder="1" applyAlignment="1" applyProtection="1">
      <alignment horizontal="left" vertical="center" wrapText="1"/>
    </xf>
    <xf numFmtId="165" fontId="11" fillId="2" borderId="0" xfId="0" applyNumberFormat="1" applyFont="1" applyFill="1" applyBorder="1" applyAlignment="1" applyProtection="1">
      <alignment horizontal="left" vertical="center" wrapText="1"/>
    </xf>
    <xf numFmtId="0" fontId="11" fillId="2" borderId="0" xfId="0" quotePrefix="1" applyFont="1" applyFill="1" applyBorder="1" applyAlignment="1" applyProtection="1">
      <alignment horizontal="left" vertical="center" wrapText="1"/>
    </xf>
    <xf numFmtId="0" fontId="12" fillId="0" borderId="0" xfId="0" applyFont="1" applyAlignment="1">
      <alignment horizontal="left" vertical="center" wrapText="1"/>
    </xf>
    <xf numFmtId="165" fontId="11" fillId="2" borderId="0" xfId="0" applyNumberFormat="1" applyFont="1" applyFill="1" applyBorder="1" applyAlignment="1" applyProtection="1">
      <alignment horizontal="left" wrapText="1"/>
    </xf>
    <xf numFmtId="0" fontId="10" fillId="0" borderId="0" xfId="0" applyFont="1" applyAlignment="1" applyProtection="1">
      <alignment horizontal="center"/>
    </xf>
    <xf numFmtId="0" fontId="2" fillId="0" borderId="0" xfId="0" applyFont="1" applyAlignment="1" applyProtection="1">
      <alignment horizontal="left"/>
    </xf>
    <xf numFmtId="0" fontId="11" fillId="2" borderId="0" xfId="0" applyFont="1" applyFill="1" applyBorder="1" applyAlignment="1" applyProtection="1">
      <alignment horizontal="left" wrapText="1"/>
    </xf>
    <xf numFmtId="165" fontId="3" fillId="0" borderId="0" xfId="0" applyNumberFormat="1" applyFont="1" applyBorder="1" applyAlignment="1" applyProtection="1">
      <alignment horizontal="left" wrapText="1"/>
    </xf>
    <xf numFmtId="0" fontId="4" fillId="0" borderId="0" xfId="0" applyFont="1" applyAlignment="1" applyProtection="1">
      <alignment horizontal="center"/>
    </xf>
    <xf numFmtId="165" fontId="3" fillId="0" borderId="3" xfId="0" applyNumberFormat="1" applyFont="1" applyBorder="1" applyAlignment="1" applyProtection="1">
      <alignment horizontal="left" wrapText="1"/>
    </xf>
    <xf numFmtId="165" fontId="3" fillId="0" borderId="4" xfId="0" applyNumberFormat="1" applyFont="1" applyBorder="1" applyAlignment="1" applyProtection="1">
      <alignment horizontal="left" wrapText="1"/>
    </xf>
    <xf numFmtId="0" fontId="11" fillId="0" borderId="0" xfId="0" applyFont="1" applyAlignment="1">
      <alignment horizontal="left" vertical="center" wrapText="1"/>
    </xf>
    <xf numFmtId="165" fontId="5" fillId="0" borderId="11" xfId="0" applyNumberFormat="1" applyFont="1" applyBorder="1" applyAlignment="1" applyProtection="1">
      <alignment horizontal="center"/>
    </xf>
    <xf numFmtId="0" fontId="4" fillId="0" borderId="0" xfId="0" applyFont="1" applyAlignment="1">
      <alignment horizontal="center"/>
    </xf>
    <xf numFmtId="0" fontId="11" fillId="0" borderId="0" xfId="0" applyFont="1" applyBorder="1" applyAlignment="1" applyProtection="1">
      <alignment horizontal="left" vertical="top" wrapText="1"/>
    </xf>
    <xf numFmtId="0" fontId="3" fillId="0" borderId="11" xfId="0" applyFont="1" applyBorder="1" applyAlignment="1">
      <alignment horizontal="center"/>
    </xf>
    <xf numFmtId="0" fontId="10" fillId="0" borderId="0" xfId="0" applyFont="1" applyAlignment="1">
      <alignment horizontal="center"/>
    </xf>
  </cellXfs>
  <cellStyles count="1">
    <cellStyle name="Normal" xfId="0" builtinId="0"/>
  </cellStyles>
  <dxfs count="6">
    <dxf>
      <font>
        <color theme="1"/>
      </font>
      <fill>
        <patternFill>
          <bgColor rgb="FF92D050"/>
        </patternFill>
      </fill>
    </dxf>
    <dxf>
      <font>
        <color theme="1"/>
      </font>
      <fill>
        <patternFill>
          <bgColor rgb="FF92D050"/>
        </patternFill>
      </fill>
    </dxf>
    <dxf>
      <font>
        <color rgb="FF9C0006"/>
      </font>
    </dxf>
    <dxf>
      <font>
        <color rgb="FF006150"/>
      </font>
      <fill>
        <patternFill patternType="none">
          <bgColor auto="1"/>
        </patternFill>
      </fill>
    </dxf>
    <dxf>
      <font>
        <strike val="0"/>
        <color rgb="FFFF0000"/>
      </font>
    </dxf>
    <dxf>
      <font>
        <strike val="0"/>
        <color rgb="FFFF0000"/>
      </font>
    </dxf>
  </dxfs>
  <tableStyles count="0" defaultTableStyle="TableStyleMedium2" defaultPivotStyle="PivotStyleLight16"/>
  <colors>
    <mruColors>
      <color rgb="FF6EAB24"/>
      <color rgb="FF006150"/>
      <color rgb="FF9AC466"/>
      <color rgb="FFD3E6BD"/>
      <color rgb="FF4C9085"/>
      <color rgb="FF7FB0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dium term comparison'!G13"/></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put &amp; summary'!E11"/></Relationships>
</file>

<file path=xl/drawings/drawing1.xml><?xml version="1.0" encoding="utf-8"?>
<xdr:wsDr xmlns:xdr="http://schemas.openxmlformats.org/drawingml/2006/spreadsheetDrawing" xmlns:a="http://schemas.openxmlformats.org/drawingml/2006/main">
  <xdr:twoCellAnchor>
    <xdr:from>
      <xdr:col>12</xdr:col>
      <xdr:colOff>67243</xdr:colOff>
      <xdr:row>19</xdr:row>
      <xdr:rowOff>224122</xdr:rowOff>
    </xdr:from>
    <xdr:to>
      <xdr:col>13</xdr:col>
      <xdr:colOff>280155</xdr:colOff>
      <xdr:row>22</xdr:row>
      <xdr:rowOff>33621</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4E8F5C78-2FFB-28D1-6D88-B322647B2377}"/>
            </a:ext>
          </a:extLst>
        </xdr:cNvPr>
        <xdr:cNvSpPr/>
      </xdr:nvSpPr>
      <xdr:spPr>
        <a:xfrm>
          <a:off x="14847802" y="4695269"/>
          <a:ext cx="1501588" cy="515470"/>
        </a:xfrm>
        <a:prstGeom prst="roundRect">
          <a:avLst/>
        </a:prstGeom>
        <a:noFill/>
        <a:ln>
          <a:solidFill>
            <a:srgbClr val="6EAB2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b="1">
              <a:solidFill>
                <a:srgbClr val="006150"/>
              </a:solidFill>
            </a:rPr>
            <a:t>View 10 year breakdown</a:t>
          </a:r>
          <a:endParaRPr lang="en-GB" sz="1100" b="1">
            <a:solidFill>
              <a:srgbClr val="006150"/>
            </a:solidFill>
          </a:endParaRPr>
        </a:p>
      </xdr:txBody>
    </xdr:sp>
    <xdr:clientData/>
  </xdr:twoCellAnchor>
  <xdr:twoCellAnchor editAs="oneCell">
    <xdr:from>
      <xdr:col>1</xdr:col>
      <xdr:colOff>939650</xdr:colOff>
      <xdr:row>1</xdr:row>
      <xdr:rowOff>78439</xdr:rowOff>
    </xdr:from>
    <xdr:to>
      <xdr:col>3</xdr:col>
      <xdr:colOff>505465</xdr:colOff>
      <xdr:row>6</xdr:row>
      <xdr:rowOff>156881</xdr:rowOff>
    </xdr:to>
    <xdr:pic>
      <xdr:nvPicPr>
        <xdr:cNvPr id="6" name="Picture 5">
          <a:extLst>
            <a:ext uri="{FF2B5EF4-FFF2-40B4-BE49-F238E27FC236}">
              <a16:creationId xmlns:a16="http://schemas.microsoft.com/office/drawing/2014/main" id="{256C9FDF-343E-C809-7BB4-1799F85663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4768" y="313763"/>
          <a:ext cx="2143168" cy="1255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261208</xdr:colOff>
      <xdr:row>8</xdr:row>
      <xdr:rowOff>123264</xdr:rowOff>
    </xdr:from>
    <xdr:to>
      <xdr:col>18</xdr:col>
      <xdr:colOff>653414</xdr:colOff>
      <xdr:row>10</xdr:row>
      <xdr:rowOff>168088</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C6BCBACB-C770-4D36-BD62-D5530D933C28}"/>
            </a:ext>
          </a:extLst>
        </xdr:cNvPr>
        <xdr:cNvSpPr/>
      </xdr:nvSpPr>
      <xdr:spPr>
        <a:xfrm>
          <a:off x="17656239" y="2028264"/>
          <a:ext cx="1511394" cy="521074"/>
        </a:xfrm>
        <a:prstGeom prst="roundRect">
          <a:avLst/>
        </a:prstGeom>
        <a:noFill/>
        <a:ln>
          <a:solidFill>
            <a:srgbClr val="6EAB2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b="1">
              <a:solidFill>
                <a:srgbClr val="006150"/>
              </a:solidFill>
            </a:rPr>
            <a:t>Back to Input &amp; summary</a:t>
          </a:r>
          <a:endParaRPr lang="en-GB" sz="1100" b="1">
            <a:solidFill>
              <a:srgbClr val="006150"/>
            </a:solidFill>
          </a:endParaRPr>
        </a:p>
      </xdr:txBody>
    </xdr:sp>
    <xdr:clientData/>
  </xdr:twoCellAnchor>
  <xdr:twoCellAnchor editAs="oneCell">
    <xdr:from>
      <xdr:col>1</xdr:col>
      <xdr:colOff>750092</xdr:colOff>
      <xdr:row>1</xdr:row>
      <xdr:rowOff>35718</xdr:rowOff>
    </xdr:from>
    <xdr:to>
      <xdr:col>3</xdr:col>
      <xdr:colOff>833436</xdr:colOff>
      <xdr:row>6</xdr:row>
      <xdr:rowOff>201003</xdr:rowOff>
    </xdr:to>
    <xdr:pic>
      <xdr:nvPicPr>
        <xdr:cNvPr id="4" name="Picture 3">
          <a:extLst>
            <a:ext uri="{FF2B5EF4-FFF2-40B4-BE49-F238E27FC236}">
              <a16:creationId xmlns:a16="http://schemas.microsoft.com/office/drawing/2014/main" id="{85AE636F-D820-4826-8A66-5523F0F1A6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7311" y="273843"/>
          <a:ext cx="2321719" cy="1355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9399E-2DA7-490D-851E-3F0910783311}">
  <sheetPr>
    <pageSetUpPr fitToPage="1"/>
  </sheetPr>
  <dimension ref="A1:V65"/>
  <sheetViews>
    <sheetView showGridLines="0" showRowColHeaders="0" tabSelected="1" zoomScale="85" zoomScaleNormal="85" workbookViewId="0">
      <selection activeCell="E11" sqref="E11"/>
    </sheetView>
  </sheetViews>
  <sheetFormatPr defaultColWidth="0" defaultRowHeight="0" customHeight="1" zeroHeight="1" x14ac:dyDescent="0.2"/>
  <cols>
    <col min="1" max="1" width="9.140625" style="6" customWidth="1"/>
    <col min="2" max="14" width="19.28515625" style="6" customWidth="1"/>
    <col min="15" max="15" width="9.140625" style="6" customWidth="1"/>
    <col min="16" max="22" width="0" style="6" hidden="1" customWidth="1"/>
    <col min="23" max="16384" width="9.140625" style="6" hidden="1"/>
  </cols>
  <sheetData>
    <row r="1" spans="2:15" ht="18.75" customHeight="1" x14ac:dyDescent="0.2"/>
    <row r="2" spans="2:15" ht="18.75" customHeight="1" thickBot="1" x14ac:dyDescent="0.25"/>
    <row r="3" spans="2:15" ht="18.75" customHeight="1" thickTop="1" x14ac:dyDescent="0.2">
      <c r="B3" s="7"/>
      <c r="C3" s="8"/>
      <c r="D3" s="8"/>
      <c r="E3" s="8"/>
      <c r="F3" s="8"/>
      <c r="G3" s="8"/>
      <c r="H3" s="8"/>
      <c r="I3" s="8"/>
      <c r="J3" s="8"/>
      <c r="K3" s="8"/>
      <c r="L3" s="8"/>
      <c r="M3" s="8"/>
      <c r="N3" s="9"/>
      <c r="O3" s="10"/>
    </row>
    <row r="4" spans="2:15" ht="18.75" customHeight="1" x14ac:dyDescent="0.2">
      <c r="B4" s="10"/>
      <c r="C4" s="11"/>
      <c r="D4" s="11"/>
      <c r="E4" s="11"/>
      <c r="F4" s="11"/>
      <c r="G4" s="11"/>
      <c r="H4" s="11"/>
      <c r="I4" s="11"/>
      <c r="J4" s="11"/>
      <c r="K4" s="11"/>
      <c r="L4" s="11"/>
      <c r="M4" s="11"/>
      <c r="N4" s="12"/>
      <c r="O4" s="11"/>
    </row>
    <row r="5" spans="2:15" ht="18.75" customHeight="1" x14ac:dyDescent="0.25">
      <c r="B5" s="10"/>
      <c r="D5" s="123"/>
      <c r="E5" s="134" t="s">
        <v>111</v>
      </c>
      <c r="F5" s="134"/>
      <c r="G5" s="134"/>
      <c r="H5" s="134"/>
      <c r="I5" s="134"/>
      <c r="M5" s="11"/>
      <c r="N5" s="12"/>
      <c r="O5" s="11"/>
    </row>
    <row r="6" spans="2:15" ht="18.75" customHeight="1" x14ac:dyDescent="0.2">
      <c r="B6" s="10"/>
      <c r="M6" s="11"/>
      <c r="N6" s="12"/>
    </row>
    <row r="7" spans="2:15" ht="18.75" customHeight="1" x14ac:dyDescent="0.2">
      <c r="B7" s="10"/>
      <c r="C7" s="125" t="s">
        <v>109</v>
      </c>
      <c r="D7" s="125"/>
      <c r="E7" s="125"/>
      <c r="F7" s="125"/>
      <c r="G7" s="125"/>
      <c r="H7" s="125"/>
      <c r="I7" s="125"/>
      <c r="J7" s="125"/>
      <c r="K7" s="125"/>
      <c r="L7" s="125"/>
      <c r="M7" s="125"/>
      <c r="N7" s="12"/>
    </row>
    <row r="8" spans="2:15" ht="18.75" customHeight="1" x14ac:dyDescent="0.2">
      <c r="B8" s="10"/>
      <c r="C8" s="125"/>
      <c r="D8" s="125"/>
      <c r="E8" s="125"/>
      <c r="F8" s="125"/>
      <c r="G8" s="125"/>
      <c r="H8" s="125"/>
      <c r="I8" s="125"/>
      <c r="J8" s="125"/>
      <c r="K8" s="125"/>
      <c r="L8" s="125"/>
      <c r="M8" s="125"/>
      <c r="N8" s="12"/>
    </row>
    <row r="9" spans="2:15" ht="18.75" customHeight="1" x14ac:dyDescent="0.25">
      <c r="B9" s="10"/>
      <c r="C9" s="133" t="s">
        <v>72</v>
      </c>
      <c r="D9" s="133"/>
      <c r="E9" s="133"/>
      <c r="F9" s="133" t="s">
        <v>73</v>
      </c>
      <c r="G9" s="133"/>
      <c r="H9" s="133"/>
      <c r="I9" s="133" t="s">
        <v>74</v>
      </c>
      <c r="J9" s="133"/>
      <c r="K9" s="133"/>
      <c r="L9" s="133"/>
      <c r="M9" s="11"/>
      <c r="N9" s="12"/>
    </row>
    <row r="10" spans="2:15" ht="18.75" customHeight="1" thickBot="1" x14ac:dyDescent="0.3">
      <c r="B10" s="3"/>
      <c r="C10" s="45"/>
      <c r="F10" s="45"/>
      <c r="H10" s="45"/>
      <c r="I10" s="45"/>
      <c r="J10" s="45"/>
      <c r="K10" s="45"/>
      <c r="M10" s="14" t="s">
        <v>32</v>
      </c>
      <c r="N10" s="12"/>
    </row>
    <row r="11" spans="2:15" ht="18.75" customHeight="1" thickBot="1" x14ac:dyDescent="0.3">
      <c r="B11" s="10"/>
      <c r="C11" s="25" t="s">
        <v>35</v>
      </c>
      <c r="D11" s="16"/>
      <c r="E11" s="17">
        <v>100000</v>
      </c>
      <c r="F11" s="25" t="s">
        <v>84</v>
      </c>
      <c r="G11" s="11"/>
      <c r="H11" s="18">
        <v>0</v>
      </c>
      <c r="I11" s="25" t="s">
        <v>88</v>
      </c>
      <c r="J11" s="15"/>
      <c r="K11" s="19"/>
      <c r="L11" s="20">
        <v>0.02</v>
      </c>
      <c r="M11" s="21">
        <f>SUM(L11:L13)</f>
        <v>0.06</v>
      </c>
      <c r="N11" s="12"/>
    </row>
    <row r="12" spans="2:15" ht="18.75" customHeight="1" thickBot="1" x14ac:dyDescent="0.3">
      <c r="B12" s="10"/>
      <c r="C12" s="25" t="s">
        <v>62</v>
      </c>
      <c r="D12" s="16"/>
      <c r="E12" s="17">
        <v>10000</v>
      </c>
      <c r="F12" s="25" t="s">
        <v>85</v>
      </c>
      <c r="G12" s="11"/>
      <c r="H12" s="18">
        <v>0</v>
      </c>
      <c r="I12" s="25" t="s">
        <v>89</v>
      </c>
      <c r="J12" s="15"/>
      <c r="K12" s="19"/>
      <c r="L12" s="20">
        <v>0.01</v>
      </c>
      <c r="M12" s="22"/>
      <c r="N12" s="12"/>
    </row>
    <row r="13" spans="2:15" ht="18.75" customHeight="1" thickBot="1" x14ac:dyDescent="0.3">
      <c r="B13" s="10"/>
      <c r="C13" s="25" t="s">
        <v>0</v>
      </c>
      <c r="D13" s="16"/>
      <c r="E13" s="18">
        <v>0.4</v>
      </c>
      <c r="F13" s="25" t="s">
        <v>86</v>
      </c>
      <c r="G13" s="11"/>
      <c r="H13" s="18">
        <v>0</v>
      </c>
      <c r="I13" s="25" t="s">
        <v>90</v>
      </c>
      <c r="J13" s="15"/>
      <c r="K13" s="19"/>
      <c r="L13" s="20">
        <v>0.03</v>
      </c>
      <c r="M13" s="11"/>
      <c r="N13" s="12"/>
    </row>
    <row r="14" spans="2:15" ht="18.75" customHeight="1" thickBot="1" x14ac:dyDescent="0.3">
      <c r="B14" s="10"/>
      <c r="C14" s="25" t="s">
        <v>64</v>
      </c>
      <c r="E14" s="18">
        <v>0</v>
      </c>
      <c r="F14" s="23" t="s">
        <v>87</v>
      </c>
      <c r="H14" s="24" t="s">
        <v>2</v>
      </c>
      <c r="I14" s="25" t="s">
        <v>91</v>
      </c>
      <c r="J14" s="15"/>
      <c r="K14" s="19"/>
      <c r="L14" s="20">
        <v>0</v>
      </c>
      <c r="M14" s="11"/>
      <c r="N14" s="12"/>
    </row>
    <row r="15" spans="2:15" ht="18.75" customHeight="1" thickBot="1" x14ac:dyDescent="0.3">
      <c r="B15" s="10"/>
      <c r="C15" s="25"/>
      <c r="E15" s="23"/>
      <c r="I15" s="25"/>
      <c r="L15" s="26"/>
      <c r="M15" s="11"/>
      <c r="N15" s="12"/>
    </row>
    <row r="16" spans="2:15" ht="18.75" customHeight="1" thickBot="1" x14ac:dyDescent="0.3">
      <c r="B16" s="10"/>
      <c r="C16" s="13"/>
      <c r="E16" s="27" t="s">
        <v>22</v>
      </c>
      <c r="F16" s="28"/>
      <c r="G16" s="29">
        <f ca="1">TODAY()</f>
        <v>45596</v>
      </c>
      <c r="H16" s="30">
        <f ca="1">IF(MONTH(G16)&lt;4,YEAR(G16),YEAR(G16)+1)</f>
        <v>2025</v>
      </c>
      <c r="M16" s="11"/>
      <c r="N16" s="12"/>
    </row>
    <row r="17" spans="2:14" ht="18.75" customHeight="1" x14ac:dyDescent="0.25">
      <c r="B17" s="10"/>
      <c r="C17" s="13"/>
      <c r="M17" s="11"/>
      <c r="N17" s="12"/>
    </row>
    <row r="18" spans="2:14" ht="18.75" customHeight="1" x14ac:dyDescent="0.25">
      <c r="B18" s="10"/>
      <c r="C18" s="137" t="s">
        <v>60</v>
      </c>
      <c r="D18" s="137"/>
      <c r="E18" s="137"/>
      <c r="F18" s="137" t="s">
        <v>58</v>
      </c>
      <c r="G18" s="137"/>
      <c r="H18" s="137"/>
      <c r="I18" s="137" t="s">
        <v>59</v>
      </c>
      <c r="J18" s="137"/>
      <c r="K18" s="137"/>
      <c r="L18" s="137"/>
      <c r="M18" s="11"/>
      <c r="N18" s="12"/>
    </row>
    <row r="19" spans="2:14" ht="18.75" customHeight="1" thickBot="1" x14ac:dyDescent="0.3">
      <c r="B19" s="31" t="s">
        <v>27</v>
      </c>
      <c r="D19" s="14"/>
      <c r="E19" s="14"/>
      <c r="F19" s="14"/>
      <c r="G19" s="14"/>
      <c r="H19" s="14"/>
      <c r="I19" s="14"/>
      <c r="J19" s="14"/>
      <c r="K19" s="14"/>
      <c r="L19" s="14"/>
      <c r="M19" s="14"/>
      <c r="N19" s="12"/>
    </row>
    <row r="20" spans="2:14" ht="18.75" customHeight="1" thickBot="1" x14ac:dyDescent="0.3">
      <c r="B20" s="32">
        <f>E11-E12</f>
        <v>90000</v>
      </c>
      <c r="C20" s="25" t="s">
        <v>92</v>
      </c>
      <c r="D20" s="33"/>
      <c r="E20" s="34">
        <f ca="1">Tax_if_clsd</f>
        <v>1680</v>
      </c>
      <c r="F20" s="46" t="s">
        <v>93</v>
      </c>
      <c r="G20" s="47"/>
      <c r="H20" s="34">
        <f ca="1">Closing_GIA_val</f>
        <v>161394.44883303731</v>
      </c>
      <c r="I20" s="50" t="s">
        <v>97</v>
      </c>
      <c r="J20" s="51"/>
      <c r="K20" s="47"/>
      <c r="L20" s="34">
        <f ca="1">Closing_CIB_val</f>
        <v>166359.64258836332</v>
      </c>
      <c r="M20" s="33"/>
      <c r="N20" s="12"/>
    </row>
    <row r="21" spans="2:14" ht="18.75" customHeight="1" thickBot="1" x14ac:dyDescent="0.3">
      <c r="B21" s="35"/>
      <c r="C21" s="25" t="s">
        <v>61</v>
      </c>
      <c r="D21" s="33"/>
      <c r="E21" s="122">
        <f ca="1">IF(Year_recouped=11,"Not recouped",Year_recouped)</f>
        <v>4</v>
      </c>
      <c r="F21" s="46" t="s">
        <v>94</v>
      </c>
      <c r="G21" s="47"/>
      <c r="H21" s="21">
        <f ca="1">(Closing_GIA_val+Total_withs_CIA-Current_GIA_value)/Current_GIA_value</f>
        <v>0.61394448833037318</v>
      </c>
      <c r="I21" s="50" t="s">
        <v>98</v>
      </c>
      <c r="J21" s="51"/>
      <c r="K21" s="47"/>
      <c r="L21" s="21">
        <f ca="1">(Closing_CIB_val+Total_withs-(Current_GIA_value-Tax_if_clsd))/(Current_GIA_value-Tax_if_clsd)</f>
        <v>0.69202240224128686</v>
      </c>
      <c r="M21" s="33"/>
      <c r="N21" s="12"/>
    </row>
    <row r="22" spans="2:14" ht="18.75" customHeight="1" thickBot="1" x14ac:dyDescent="0.3">
      <c r="B22" s="35"/>
      <c r="C22" s="25" t="s">
        <v>63</v>
      </c>
      <c r="D22" s="33"/>
      <c r="E22" s="34">
        <f ca="1">Tax_loss_sav-Tax_if_clsd</f>
        <v>4551.0498435572517</v>
      </c>
      <c r="F22" s="48" t="s">
        <v>95</v>
      </c>
      <c r="G22" s="49"/>
      <c r="H22" s="21">
        <f ca="1">(((Closing_GIA_val+Total_withs_CIA)/Current_GIA_value)^(1/10)-1)</f>
        <v>4.9032297242125322E-2</v>
      </c>
      <c r="I22" s="48" t="s">
        <v>95</v>
      </c>
      <c r="J22" s="51"/>
      <c r="K22" s="47"/>
      <c r="L22" s="21">
        <f ca="1">(((Closing_CIB_val+Total_withs)/(Current_GIA_value-Tax_if_clsd))^(1/10)-1)</f>
        <v>5.4000000000000048E-2</v>
      </c>
      <c r="M22" s="33"/>
      <c r="N22" s="12"/>
    </row>
    <row r="23" spans="2:14" ht="18.75" customHeight="1" thickBot="1" x14ac:dyDescent="0.3">
      <c r="B23" s="35"/>
      <c r="C23" s="14" t="s">
        <v>50</v>
      </c>
      <c r="D23" s="33"/>
      <c r="E23" s="21">
        <f ca="1">CIB_net_return-GIA_net_return</f>
        <v>4.9677027578747257E-3</v>
      </c>
      <c r="F23" s="136" t="s">
        <v>96</v>
      </c>
      <c r="G23" s="136"/>
      <c r="H23" s="34">
        <f ca="1">final_carried_gain</f>
        <v>3301.8196547301723</v>
      </c>
      <c r="I23" s="138" t="s">
        <v>99</v>
      </c>
      <c r="J23" s="136"/>
      <c r="K23" s="139"/>
      <c r="L23" s="34">
        <f ca="1">Closing_CIB_val+Total_withs-Opening_CIB</f>
        <v>68039.64258836332</v>
      </c>
      <c r="M23" s="33"/>
      <c r="N23" s="12"/>
    </row>
    <row r="24" spans="2:14" ht="18.75" customHeight="1" x14ac:dyDescent="0.2">
      <c r="B24" s="35"/>
      <c r="C24" s="36"/>
      <c r="D24" s="33"/>
      <c r="E24" s="33"/>
      <c r="F24" s="33"/>
      <c r="G24" s="33"/>
      <c r="H24" s="33"/>
      <c r="I24" s="37"/>
      <c r="J24" s="37"/>
      <c r="K24" s="33"/>
      <c r="L24" s="33"/>
      <c r="M24" s="33"/>
      <c r="N24" s="12"/>
    </row>
    <row r="25" spans="2:14" ht="18.75" customHeight="1" x14ac:dyDescent="0.25">
      <c r="B25" s="35"/>
      <c r="C25" s="38" t="s">
        <v>45</v>
      </c>
      <c r="D25" s="33"/>
      <c r="E25" s="33"/>
      <c r="F25" s="33"/>
      <c r="G25" s="33"/>
      <c r="H25" s="33"/>
      <c r="I25" s="33"/>
      <c r="J25" s="33"/>
      <c r="K25" s="33"/>
      <c r="L25" s="33"/>
      <c r="M25" s="33"/>
      <c r="N25" s="12"/>
    </row>
    <row r="26" spans="2:14" ht="18.75" customHeight="1" x14ac:dyDescent="0.2">
      <c r="B26" s="35"/>
      <c r="C26" s="36"/>
      <c r="D26" s="33"/>
      <c r="E26" s="33"/>
      <c r="F26" s="33"/>
      <c r="G26" s="33"/>
      <c r="H26" s="33"/>
      <c r="I26" s="33"/>
      <c r="J26" s="33"/>
      <c r="K26" s="33"/>
      <c r="L26" s="33"/>
      <c r="M26" s="33"/>
      <c r="N26" s="12"/>
    </row>
    <row r="27" spans="2:14" ht="18.75" customHeight="1" x14ac:dyDescent="0.25">
      <c r="B27" s="35"/>
      <c r="C27" s="53" t="s">
        <v>48</v>
      </c>
      <c r="D27" s="39"/>
      <c r="E27" s="39"/>
      <c r="F27" s="39"/>
      <c r="G27" s="39"/>
      <c r="H27" s="33"/>
      <c r="I27" s="52" t="s">
        <v>49</v>
      </c>
      <c r="J27" s="39"/>
      <c r="K27" s="39"/>
      <c r="L27" s="39"/>
      <c r="M27" s="39"/>
      <c r="N27" s="12"/>
    </row>
    <row r="28" spans="2:14" ht="18.75" customHeight="1" x14ac:dyDescent="0.2">
      <c r="B28" s="35"/>
      <c r="C28" s="126" t="str">
        <f ca="1">IF($E22&lt;=0,"- The CGT payable for closing the GIA is not recouped during the next 10 years.","- Although there is an initial CGT bill for closing the GIA this is recouped during the next 10 years.")</f>
        <v>- Although there is an initial CGT bill for closing the GIA this is recouped during the next 10 years.</v>
      </c>
      <c r="D28" s="126"/>
      <c r="E28" s="126"/>
      <c r="F28" s="126"/>
      <c r="G28" s="126"/>
      <c r="H28" s="33"/>
      <c r="I28" s="126" t="str">
        <f ca="1">IF($E22&lt;=0,"- The CGT payable for closing the GIA is not recouped during the next 10 years.","- Although there is an initial CGT bill for closing the GIA, this is recouped during the next 10 years.")</f>
        <v>- Although there is an initial CGT bill for closing the GIA, this is recouped during the next 10 years.</v>
      </c>
      <c r="J28" s="126"/>
      <c r="K28" s="126"/>
      <c r="L28" s="126"/>
      <c r="M28" s="126"/>
      <c r="N28" s="12"/>
    </row>
    <row r="29" spans="2:14" ht="32.25" customHeight="1" x14ac:dyDescent="0.2">
      <c r="B29" s="35"/>
      <c r="C29" s="126" t="str">
        <f>IF(SUM(H11:H13)&lt;3,"- A GIA enables clients to utilise their remaining tax allowances.","- All returns within the GIA are taxable.")</f>
        <v>- A GIA enables clients to utilise their remaining tax allowances.</v>
      </c>
      <c r="D29" s="126"/>
      <c r="E29" s="126"/>
      <c r="F29" s="126"/>
      <c r="G29" s="126"/>
      <c r="H29" s="33"/>
      <c r="I29" s="132" t="str">
        <f>IF(SUM(H$11:H$13)&lt;3,"- The CIB doesn't allow the client to utilise remaing tax allowances but does avoid returns above allowances being assessed on the client.","- As no tax allowances remain, the CIB avoids further returns being assessable on the client.")</f>
        <v>- The CIB doesn't allow the client to utilise remaing tax allowances but does avoid returns above allowances being assessed on the client.</v>
      </c>
      <c r="J29" s="132"/>
      <c r="K29" s="132"/>
      <c r="L29" s="132"/>
      <c r="M29" s="132"/>
      <c r="N29" s="12"/>
    </row>
    <row r="30" spans="2:14" ht="32.25" customHeight="1" x14ac:dyDescent="0.2">
      <c r="B30" s="35"/>
      <c r="C30" s="126" t="str">
        <f>IF($E13&lt;0.4,"- Income yields in excess of allowances are taxable at low rates, namely dividends (8.75%) and interest (20%).",IF(E$13&lt;0.45,"- Income in excess of allowances are taxed at higher rates of tax, namely dividends (33.75%) and interest (40%).","- Income yields in excess of allowances are taxed at higher rates of tax, namely dividends (39.35%) and interest (45%)."))</f>
        <v>- Income in excess of allowances are taxed at higher rates of tax, namely dividends (33.75%) and interest (40%).</v>
      </c>
      <c r="D30" s="126"/>
      <c r="E30" s="126"/>
      <c r="F30" s="126"/>
      <c r="G30" s="126"/>
      <c r="H30" s="33"/>
      <c r="I30" s="126" t="str">
        <f>IF($E13&lt;0.4,"- The CIB avoids income yields from being reportable to HMRC.","- The CIB avoids income yields in excess of allowances being taxed at higher rates of tax as not reportable to HMRC.")</f>
        <v>- The CIB avoids income yields in excess of allowances being taxed at higher rates of tax as not reportable to HMRC.</v>
      </c>
      <c r="J30" s="126"/>
      <c r="K30" s="126"/>
      <c r="L30" s="126"/>
      <c r="M30" s="126"/>
      <c r="N30" s="12"/>
    </row>
    <row r="31" spans="2:14" ht="30" customHeight="1" x14ac:dyDescent="0.2">
      <c r="B31" s="35"/>
      <c r="C31" s="126" t="str">
        <f>IF($E13&lt;0.4,"- Capital gains are taxed at lower rates than income, just 18% above the Annual Exempt Amount.","- Capital gains are taxed at lower rates than income, just 24% above the Annual Exempt Amount.")</f>
        <v>- Capital gains are taxed at lower rates than income, just 24% above the Annual Exempt Amount.</v>
      </c>
      <c r="D31" s="126"/>
      <c r="E31" s="126"/>
      <c r="F31" s="126"/>
      <c r="G31" s="126"/>
      <c r="H31" s="33"/>
      <c r="I31" s="126" t="str">
        <f>IF($E13&lt;0.4,"- Capital gains within the CIB will be taxed at higher rates than payable by the client (20% instead of 18%) and will not benefit from any Annual Exempt Amount.","- Capital gains are taxed at a lower rate within the CIB although they can't benefit from an Annual Exempt Amount.")</f>
        <v>- Capital gains are taxed at a lower rate within the CIB although they can't benefit from an Annual Exempt Amount.</v>
      </c>
      <c r="J31" s="126"/>
      <c r="K31" s="126"/>
      <c r="L31" s="126"/>
      <c r="M31" s="126"/>
      <c r="N31" s="12"/>
    </row>
    <row r="32" spans="2:14" ht="33" customHeight="1" x14ac:dyDescent="0.2">
      <c r="B32" s="35"/>
      <c r="C32" s="130" t="s">
        <v>117</v>
      </c>
      <c r="D32" s="126"/>
      <c r="E32" s="126"/>
      <c r="F32" s="126"/>
      <c r="G32" s="126"/>
      <c r="H32" s="33"/>
      <c r="I32" s="128" t="s">
        <v>121</v>
      </c>
      <c r="J32" s="129"/>
      <c r="K32" s="129"/>
      <c r="L32" s="129"/>
      <c r="M32" s="129"/>
      <c r="N32" s="12"/>
    </row>
    <row r="33" spans="2:20" ht="18.75" customHeight="1" x14ac:dyDescent="0.2">
      <c r="B33" s="10"/>
      <c r="C33" s="127" t="s">
        <v>118</v>
      </c>
      <c r="D33" s="135"/>
      <c r="E33" s="135"/>
      <c r="F33" s="135"/>
      <c r="G33" s="135"/>
      <c r="H33" s="11"/>
      <c r="I33" s="130" t="s">
        <v>122</v>
      </c>
      <c r="J33" s="126"/>
      <c r="K33" s="126"/>
      <c r="L33" s="126"/>
      <c r="M33" s="126"/>
      <c r="N33" s="12"/>
    </row>
    <row r="34" spans="2:20" ht="33" customHeight="1" x14ac:dyDescent="0.2">
      <c r="B34" s="10"/>
      <c r="C34" s="127" t="s">
        <v>119</v>
      </c>
      <c r="D34" s="135"/>
      <c r="E34" s="135"/>
      <c r="F34" s="135"/>
      <c r="G34" s="135"/>
      <c r="H34" s="11"/>
      <c r="I34" s="130" t="str">
        <f>IF(E13&lt;0.4,"- Any gain is added on top of other income. If the client remains below the higher rate Income Tax threshold no further tax would be payable.", IF(E13=0.4,"- Any gain is added on top of other income. If the client remains a higher rate Income Tax payer a further 20% of the gain is payable.", "- Any gain is added on top of other income, a further 25% of the gain is payable."))</f>
        <v>- Any gain is added on top of other income. If the client remains a higher rate Income Tax payer a further 20% of the gain is payable.</v>
      </c>
      <c r="J34" s="126"/>
      <c r="K34" s="126"/>
      <c r="L34" s="126"/>
      <c r="M34" s="126"/>
      <c r="N34" s="12"/>
    </row>
    <row r="35" spans="2:20" ht="18.75" customHeight="1" x14ac:dyDescent="0.2">
      <c r="B35" s="10"/>
      <c r="C35" s="127" t="s">
        <v>120</v>
      </c>
      <c r="D35" s="127"/>
      <c r="E35" s="127"/>
      <c r="F35" s="127"/>
      <c r="G35" s="127"/>
      <c r="H35" s="11"/>
      <c r="I35" s="130" t="s">
        <v>113</v>
      </c>
      <c r="J35" s="126"/>
      <c r="K35" s="126"/>
      <c r="L35" s="126"/>
      <c r="M35" s="126"/>
      <c r="N35" s="12"/>
    </row>
    <row r="36" spans="2:20" ht="18.75" customHeight="1" x14ac:dyDescent="0.25">
      <c r="B36" s="10"/>
      <c r="C36" s="127" t="s">
        <v>112</v>
      </c>
      <c r="D36" s="127"/>
      <c r="E36" s="127"/>
      <c r="F36" s="127"/>
      <c r="G36" s="127"/>
      <c r="H36" s="23"/>
      <c r="I36" s="127" t="s">
        <v>112</v>
      </c>
      <c r="J36" s="127"/>
      <c r="K36" s="127"/>
      <c r="L36" s="127"/>
      <c r="M36" s="127"/>
      <c r="N36" s="12"/>
    </row>
    <row r="37" spans="2:20" ht="18.75" customHeight="1" x14ac:dyDescent="0.2">
      <c r="B37" s="32">
        <f>E11</f>
        <v>100000</v>
      </c>
      <c r="C37" s="36"/>
      <c r="D37" s="33"/>
      <c r="E37" s="33"/>
      <c r="F37" s="33"/>
      <c r="G37" s="33"/>
      <c r="H37" s="33"/>
      <c r="I37" s="33"/>
      <c r="J37" s="33"/>
      <c r="K37" s="33"/>
      <c r="L37" s="33"/>
      <c r="M37" s="33"/>
      <c r="N37" s="12"/>
    </row>
    <row r="38" spans="2:20" ht="18.75" customHeight="1" thickBot="1" x14ac:dyDescent="0.3">
      <c r="B38" s="40"/>
      <c r="C38" s="41"/>
      <c r="D38" s="42"/>
      <c r="E38" s="42"/>
      <c r="F38" s="42"/>
      <c r="G38" s="141" t="s">
        <v>110</v>
      </c>
      <c r="H38" s="141"/>
      <c r="I38" s="141"/>
      <c r="J38" s="42"/>
      <c r="K38" s="42"/>
      <c r="L38" s="42"/>
      <c r="M38" s="42"/>
      <c r="N38" s="43"/>
    </row>
    <row r="39" spans="2:20" ht="18.75" customHeight="1" thickTop="1" x14ac:dyDescent="0.2">
      <c r="B39" s="8"/>
      <c r="C39" s="36"/>
      <c r="D39" s="33"/>
      <c r="E39" s="33"/>
      <c r="F39" s="33"/>
      <c r="G39" s="33"/>
      <c r="H39" s="33"/>
      <c r="I39" s="33"/>
      <c r="J39" s="33"/>
      <c r="K39" s="33"/>
      <c r="L39" s="33"/>
      <c r="M39" s="33"/>
      <c r="N39" s="8"/>
    </row>
    <row r="40" spans="2:20" ht="18.75" customHeight="1" x14ac:dyDescent="0.2">
      <c r="B40" s="11"/>
      <c r="C40" s="131" t="s">
        <v>51</v>
      </c>
      <c r="D40" s="131"/>
      <c r="E40" s="131"/>
      <c r="F40" s="131"/>
      <c r="G40" s="131"/>
      <c r="H40" s="131"/>
      <c r="I40" s="131"/>
      <c r="J40" s="131"/>
      <c r="K40" s="131"/>
      <c r="L40" s="131"/>
      <c r="M40" s="131"/>
      <c r="N40" s="54"/>
      <c r="O40" s="55"/>
      <c r="P40" s="55"/>
      <c r="Q40" s="55"/>
      <c r="R40" s="55"/>
      <c r="S40" s="55"/>
      <c r="T40" s="55"/>
    </row>
    <row r="41" spans="2:20" ht="18.75" customHeight="1" x14ac:dyDescent="0.2">
      <c r="B41" s="11"/>
      <c r="C41" s="131"/>
      <c r="D41" s="131"/>
      <c r="E41" s="131"/>
      <c r="F41" s="131"/>
      <c r="G41" s="131"/>
      <c r="H41" s="131"/>
      <c r="I41" s="131"/>
      <c r="J41" s="131"/>
      <c r="K41" s="131"/>
      <c r="L41" s="131"/>
      <c r="M41" s="131"/>
      <c r="N41" s="54"/>
      <c r="O41" s="55"/>
      <c r="P41" s="55"/>
      <c r="Q41" s="55"/>
      <c r="R41" s="55"/>
      <c r="S41" s="55"/>
      <c r="T41" s="55"/>
    </row>
    <row r="42" spans="2:20" ht="18.75" customHeight="1" x14ac:dyDescent="0.2">
      <c r="B42" s="11"/>
      <c r="C42" s="131" t="s">
        <v>126</v>
      </c>
      <c r="D42" s="131"/>
      <c r="E42" s="131"/>
      <c r="F42" s="131"/>
      <c r="G42" s="131"/>
      <c r="H42" s="131"/>
      <c r="I42" s="131"/>
      <c r="J42" s="131"/>
      <c r="K42" s="131"/>
      <c r="L42" s="131"/>
      <c r="M42" s="131"/>
      <c r="N42" s="54"/>
      <c r="O42" s="55"/>
      <c r="P42" s="55"/>
      <c r="Q42" s="55"/>
      <c r="R42" s="55"/>
      <c r="S42" s="55"/>
      <c r="T42" s="55"/>
    </row>
    <row r="43" spans="2:20" ht="18.75" customHeight="1" x14ac:dyDescent="0.2">
      <c r="B43" s="11"/>
      <c r="C43" s="131"/>
      <c r="D43" s="131"/>
      <c r="E43" s="131"/>
      <c r="F43" s="131"/>
      <c r="G43" s="131"/>
      <c r="H43" s="131"/>
      <c r="I43" s="131"/>
      <c r="J43" s="131"/>
      <c r="K43" s="131"/>
      <c r="L43" s="131"/>
      <c r="M43" s="131"/>
      <c r="N43" s="54"/>
      <c r="O43" s="55"/>
      <c r="P43" s="55"/>
      <c r="Q43" s="55"/>
      <c r="R43" s="55"/>
      <c r="S43" s="55"/>
      <c r="T43" s="55"/>
    </row>
    <row r="44" spans="2:20" ht="18.75" customHeight="1" x14ac:dyDescent="0.2">
      <c r="B44" s="11"/>
      <c r="C44" s="131" t="s">
        <v>128</v>
      </c>
      <c r="D44" s="131"/>
      <c r="E44" s="131"/>
      <c r="F44" s="131"/>
      <c r="G44" s="131"/>
      <c r="H44" s="131"/>
      <c r="I44" s="131"/>
      <c r="J44" s="131"/>
      <c r="K44" s="131"/>
      <c r="L44" s="131"/>
      <c r="M44" s="131"/>
      <c r="N44" s="131"/>
      <c r="O44" s="131"/>
      <c r="P44" s="131"/>
      <c r="Q44" s="131"/>
      <c r="R44" s="131"/>
      <c r="S44" s="131"/>
      <c r="T44" s="131"/>
    </row>
    <row r="45" spans="2:20" ht="18.75" customHeight="1" x14ac:dyDescent="0.2">
      <c r="B45" s="11"/>
      <c r="C45" s="131" t="s">
        <v>52</v>
      </c>
      <c r="D45" s="131"/>
      <c r="E45" s="131"/>
      <c r="F45" s="131"/>
      <c r="G45" s="131"/>
      <c r="H45" s="131"/>
      <c r="I45" s="131"/>
      <c r="J45" s="131"/>
      <c r="K45" s="131"/>
      <c r="L45" s="131"/>
      <c r="M45" s="131"/>
      <c r="N45" s="54"/>
      <c r="O45" s="55"/>
      <c r="P45" s="55"/>
      <c r="Q45" s="55"/>
      <c r="R45" s="55"/>
      <c r="S45" s="55"/>
      <c r="T45" s="55"/>
    </row>
    <row r="46" spans="2:20" ht="18.75" customHeight="1" x14ac:dyDescent="0.2">
      <c r="B46" s="11"/>
      <c r="C46" s="131" t="s">
        <v>114</v>
      </c>
      <c r="D46" s="131"/>
      <c r="E46" s="131"/>
      <c r="F46" s="131"/>
      <c r="G46" s="131"/>
      <c r="H46" s="131"/>
      <c r="I46" s="131"/>
      <c r="J46" s="131"/>
      <c r="K46" s="131"/>
      <c r="L46" s="131"/>
      <c r="M46" s="131"/>
      <c r="N46" s="54"/>
      <c r="O46" s="55"/>
      <c r="P46" s="55"/>
      <c r="Q46" s="55"/>
      <c r="R46" s="55"/>
      <c r="S46" s="55"/>
      <c r="T46" s="55"/>
    </row>
    <row r="47" spans="2:20" ht="18.75" customHeight="1" x14ac:dyDescent="0.2">
      <c r="B47" s="11"/>
      <c r="C47" s="131"/>
      <c r="D47" s="131"/>
      <c r="E47" s="131"/>
      <c r="F47" s="131"/>
      <c r="G47" s="131"/>
      <c r="H47" s="131"/>
      <c r="I47" s="131"/>
      <c r="J47" s="131"/>
      <c r="K47" s="131"/>
      <c r="L47" s="131"/>
      <c r="M47" s="131"/>
      <c r="N47" s="54"/>
      <c r="O47" s="55"/>
      <c r="P47" s="55"/>
      <c r="Q47" s="55"/>
      <c r="R47" s="55"/>
      <c r="S47" s="55"/>
      <c r="T47" s="55"/>
    </row>
    <row r="48" spans="2:20" ht="18.75" customHeight="1" x14ac:dyDescent="0.2">
      <c r="B48" s="11"/>
      <c r="C48" s="131"/>
      <c r="D48" s="131"/>
      <c r="E48" s="131"/>
      <c r="F48" s="131"/>
      <c r="G48" s="131"/>
      <c r="H48" s="131"/>
      <c r="I48" s="131"/>
      <c r="J48" s="131"/>
      <c r="K48" s="131"/>
      <c r="L48" s="131"/>
      <c r="M48" s="131"/>
      <c r="N48" s="54"/>
      <c r="O48" s="55"/>
      <c r="P48" s="55"/>
      <c r="Q48" s="55"/>
      <c r="R48" s="55"/>
      <c r="S48" s="55"/>
      <c r="T48" s="55"/>
    </row>
    <row r="49" spans="2:20" ht="18.75" customHeight="1" x14ac:dyDescent="0.2">
      <c r="B49" s="11"/>
      <c r="C49" s="140" t="s">
        <v>54</v>
      </c>
      <c r="D49" s="140"/>
      <c r="E49" s="140"/>
      <c r="F49" s="140"/>
      <c r="G49" s="140"/>
      <c r="H49" s="140"/>
      <c r="I49" s="140"/>
      <c r="J49" s="140"/>
      <c r="K49" s="140"/>
      <c r="L49" s="140"/>
      <c r="M49" s="140"/>
      <c r="N49" s="54"/>
      <c r="O49" s="55"/>
      <c r="P49" s="55"/>
      <c r="Q49" s="55"/>
      <c r="R49" s="55"/>
      <c r="S49" s="55"/>
      <c r="T49" s="55"/>
    </row>
    <row r="50" spans="2:20" ht="18.75" customHeight="1" x14ac:dyDescent="0.2">
      <c r="B50" s="11"/>
      <c r="C50" s="140" t="s">
        <v>127</v>
      </c>
      <c r="D50" s="140"/>
      <c r="E50" s="140"/>
      <c r="F50" s="140"/>
      <c r="G50" s="140"/>
      <c r="H50" s="140"/>
      <c r="I50" s="140"/>
      <c r="J50" s="140"/>
      <c r="K50" s="140"/>
      <c r="L50" s="140"/>
      <c r="M50" s="140"/>
      <c r="N50" s="54"/>
      <c r="O50" s="55"/>
      <c r="P50" s="55"/>
      <c r="Q50" s="55"/>
      <c r="R50" s="55"/>
      <c r="S50" s="55"/>
      <c r="T50" s="55"/>
    </row>
    <row r="51" spans="2:20" ht="18.75" customHeight="1" x14ac:dyDescent="0.2">
      <c r="B51" s="44">
        <f>E11</f>
        <v>100000</v>
      </c>
      <c r="C51" s="124" t="s">
        <v>115</v>
      </c>
      <c r="D51" s="124"/>
      <c r="E51" s="124"/>
      <c r="F51" s="124"/>
      <c r="G51" s="124"/>
      <c r="H51" s="124"/>
      <c r="I51" s="124"/>
      <c r="J51" s="124"/>
      <c r="K51" s="124"/>
      <c r="L51" s="124"/>
      <c r="M51" s="124"/>
      <c r="N51" s="54"/>
      <c r="O51" s="55"/>
      <c r="P51" s="55"/>
      <c r="Q51" s="55"/>
      <c r="R51" s="55"/>
      <c r="S51" s="55"/>
      <c r="T51" s="55"/>
    </row>
    <row r="52" spans="2:20" ht="18.75" customHeight="1" x14ac:dyDescent="0.2">
      <c r="B52" s="11"/>
      <c r="C52" s="124"/>
      <c r="D52" s="124"/>
      <c r="E52" s="124"/>
      <c r="F52" s="124"/>
      <c r="G52" s="124"/>
      <c r="H52" s="124"/>
      <c r="I52" s="124"/>
      <c r="J52" s="124"/>
      <c r="K52" s="124"/>
      <c r="L52" s="124"/>
      <c r="M52" s="124"/>
      <c r="N52" s="54"/>
      <c r="O52" s="55"/>
      <c r="P52" s="55"/>
      <c r="Q52" s="55"/>
      <c r="R52" s="55"/>
      <c r="S52" s="55"/>
      <c r="T52" s="55"/>
    </row>
    <row r="53" spans="2:20" ht="18.75" hidden="1" customHeight="1" x14ac:dyDescent="0.2">
      <c r="B53" s="11"/>
      <c r="C53" s="36"/>
      <c r="D53" s="33"/>
      <c r="E53" s="33"/>
      <c r="F53" s="33"/>
      <c r="G53" s="33"/>
      <c r="H53" s="33"/>
      <c r="I53" s="33"/>
      <c r="J53" s="33"/>
      <c r="K53" s="33"/>
      <c r="L53" s="33"/>
      <c r="M53" s="33"/>
      <c r="N53" s="11"/>
    </row>
    <row r="54" spans="2:20" ht="18.75" hidden="1" customHeight="1" x14ac:dyDescent="0.2">
      <c r="B54" s="11"/>
      <c r="C54" s="36"/>
      <c r="D54" s="33"/>
      <c r="E54" s="33"/>
      <c r="F54" s="33"/>
      <c r="G54" s="33"/>
      <c r="H54" s="33"/>
      <c r="I54" s="33"/>
      <c r="J54" s="33"/>
      <c r="K54" s="33"/>
      <c r="L54" s="33"/>
      <c r="M54" s="33"/>
      <c r="N54" s="11"/>
    </row>
    <row r="55" spans="2:20" ht="18.75" hidden="1" customHeight="1" x14ac:dyDescent="0.2">
      <c r="B55" s="11"/>
      <c r="C55" s="36"/>
      <c r="D55" s="33"/>
      <c r="E55" s="33"/>
      <c r="F55" s="33"/>
      <c r="G55" s="33"/>
      <c r="H55" s="33"/>
      <c r="I55" s="33"/>
      <c r="J55" s="33"/>
      <c r="K55" s="33"/>
      <c r="L55" s="33"/>
      <c r="M55" s="33"/>
      <c r="N55" s="11"/>
    </row>
    <row r="56" spans="2:20" ht="18.75" hidden="1" customHeight="1" x14ac:dyDescent="0.2">
      <c r="B56" s="11"/>
      <c r="C56" s="36"/>
      <c r="D56" s="33"/>
      <c r="E56" s="33"/>
      <c r="F56" s="33"/>
      <c r="G56" s="33"/>
      <c r="H56" s="33"/>
      <c r="I56" s="33"/>
      <c r="J56" s="33"/>
      <c r="K56" s="33"/>
      <c r="L56" s="33"/>
      <c r="M56" s="11"/>
      <c r="N56" s="11"/>
    </row>
    <row r="57" spans="2:20" ht="18.75" hidden="1" customHeight="1" x14ac:dyDescent="0.2">
      <c r="B57" s="11"/>
      <c r="C57" s="36"/>
      <c r="D57" s="33"/>
      <c r="E57" s="33"/>
      <c r="F57" s="33"/>
      <c r="G57" s="33"/>
      <c r="H57" s="33"/>
      <c r="I57" s="33"/>
      <c r="J57" s="33"/>
      <c r="K57" s="33"/>
      <c r="L57" s="33"/>
      <c r="M57" s="11"/>
      <c r="N57" s="11"/>
    </row>
    <row r="58" spans="2:20" ht="18.75" hidden="1" customHeight="1" x14ac:dyDescent="0.2">
      <c r="B58" s="11"/>
      <c r="C58" s="36"/>
      <c r="D58" s="33"/>
      <c r="E58" s="33"/>
      <c r="F58" s="33"/>
      <c r="G58" s="33"/>
      <c r="H58" s="33"/>
      <c r="I58" s="33"/>
      <c r="J58" s="33"/>
      <c r="K58" s="33"/>
      <c r="L58" s="33"/>
      <c r="M58" s="11"/>
      <c r="N58" s="11"/>
    </row>
    <row r="59" spans="2:20" ht="18.75" hidden="1" customHeight="1" x14ac:dyDescent="0.2">
      <c r="B59" s="11"/>
      <c r="C59" s="36"/>
      <c r="D59" s="33"/>
      <c r="E59" s="33"/>
      <c r="F59" s="33"/>
      <c r="G59" s="33"/>
      <c r="H59" s="33"/>
      <c r="I59" s="33"/>
      <c r="J59" s="33"/>
      <c r="K59" s="33"/>
      <c r="L59" s="33"/>
      <c r="M59" s="11"/>
      <c r="N59" s="11"/>
    </row>
    <row r="60" spans="2:20" ht="18.75" hidden="1" customHeight="1" x14ac:dyDescent="0.2">
      <c r="B60" s="11"/>
      <c r="C60" s="36"/>
      <c r="D60" s="33"/>
      <c r="E60" s="33"/>
      <c r="F60" s="33"/>
      <c r="G60" s="33"/>
      <c r="H60" s="33"/>
      <c r="I60" s="33"/>
      <c r="J60" s="33"/>
      <c r="K60" s="33"/>
      <c r="L60" s="33"/>
      <c r="M60" s="11"/>
      <c r="N60" s="11"/>
    </row>
    <row r="61" spans="2:20" ht="18.75" hidden="1" customHeight="1" x14ac:dyDescent="0.2">
      <c r="B61" s="11"/>
      <c r="C61" s="11"/>
      <c r="D61" s="11"/>
      <c r="E61" s="11"/>
      <c r="F61" s="11"/>
      <c r="G61" s="11"/>
      <c r="H61" s="11"/>
      <c r="I61" s="11"/>
      <c r="J61" s="11"/>
      <c r="K61" s="11"/>
      <c r="L61" s="11"/>
      <c r="M61" s="11"/>
      <c r="N61" s="11"/>
    </row>
    <row r="62" spans="2:20" ht="18.75" hidden="1" customHeight="1" x14ac:dyDescent="0.2">
      <c r="B62" s="11"/>
      <c r="C62" s="11"/>
      <c r="D62" s="11"/>
      <c r="E62" s="11"/>
      <c r="F62" s="11"/>
      <c r="G62" s="11"/>
      <c r="H62" s="11"/>
      <c r="I62" s="11"/>
      <c r="J62" s="11"/>
      <c r="K62" s="11"/>
      <c r="L62" s="11"/>
      <c r="M62" s="11"/>
      <c r="N62" s="11"/>
      <c r="O62" s="11"/>
    </row>
    <row r="63" spans="2:20" ht="14.25" hidden="1" x14ac:dyDescent="0.2"/>
    <row r="64" spans="2:20" ht="14.25" hidden="1" x14ac:dyDescent="0.2"/>
    <row r="65" s="6" customFormat="1" ht="14.25" hidden="1" x14ac:dyDescent="0.2"/>
  </sheetData>
  <sheetProtection algorithmName="SHA-512" hashValue="wKd4qncwwCyHS9bHe6fCiNDbCwwb8f80TfWZVCm2seBYDaYK7vTWf+pMwVybmqxtb+UqbGJA0ITAGpDGcsQ5SQ==" saltValue="xt/1+j1X0bUDEkDwV89RRA==" spinCount="100000" sheet="1" selectLockedCells="1"/>
  <mergeCells count="37">
    <mergeCell ref="C36:G36"/>
    <mergeCell ref="I36:M36"/>
    <mergeCell ref="C49:M49"/>
    <mergeCell ref="C50:M50"/>
    <mergeCell ref="C45:M45"/>
    <mergeCell ref="C46:M48"/>
    <mergeCell ref="C44:T44"/>
    <mergeCell ref="G38:I38"/>
    <mergeCell ref="E5:I5"/>
    <mergeCell ref="C34:G34"/>
    <mergeCell ref="C33:G33"/>
    <mergeCell ref="C28:G28"/>
    <mergeCell ref="F23:G23"/>
    <mergeCell ref="C9:E9"/>
    <mergeCell ref="C18:E18"/>
    <mergeCell ref="F18:H18"/>
    <mergeCell ref="C29:G29"/>
    <mergeCell ref="C30:G30"/>
    <mergeCell ref="C32:G32"/>
    <mergeCell ref="I23:K23"/>
    <mergeCell ref="I18:L18"/>
    <mergeCell ref="C51:M52"/>
    <mergeCell ref="C7:M8"/>
    <mergeCell ref="C31:G31"/>
    <mergeCell ref="C35:G35"/>
    <mergeCell ref="I30:M30"/>
    <mergeCell ref="I31:M31"/>
    <mergeCell ref="I32:M32"/>
    <mergeCell ref="I33:M33"/>
    <mergeCell ref="I34:M34"/>
    <mergeCell ref="I35:M35"/>
    <mergeCell ref="C40:M41"/>
    <mergeCell ref="C42:M43"/>
    <mergeCell ref="I28:M28"/>
    <mergeCell ref="I29:M29"/>
    <mergeCell ref="F9:H9"/>
    <mergeCell ref="I9:L9"/>
  </mergeCells>
  <conditionalFormatting sqref="E22">
    <cfRule type="cellIs" dxfId="5" priority="1" operator="lessThan">
      <formula>0</formula>
    </cfRule>
  </conditionalFormatting>
  <dataValidations count="7">
    <dataValidation type="decimal" allowBlank="1" showInputMessage="1" showErrorMessage="1" sqref="E11" xr:uid="{FD43C4A3-2E4D-4C63-9AC7-FE80EA4C8346}">
      <formula1>0</formula1>
      <formula2>100000000</formula2>
    </dataValidation>
    <dataValidation type="decimal" allowBlank="1" showErrorMessage="1" errorTitle="Gain entered invalid" error="Current gain must be less than value and no less than £0" sqref="E12" xr:uid="{D1998B4B-3040-45C2-8A16-3932090282B2}">
      <formula1>0</formula1>
      <formula2>E11-1</formula2>
    </dataValidation>
    <dataValidation type="list" allowBlank="1" showInputMessage="1" showErrorMessage="1" sqref="H14" xr:uid="{3BC67F64-EAD2-4752-88E7-4E038F4259DE}">
      <formula1>CGT_Y_N</formula1>
    </dataValidation>
    <dataValidation type="list" allowBlank="1" showInputMessage="1" showErrorMessage="1" sqref="L14" xr:uid="{52928282-797E-48BD-9F16-7CD429640688}">
      <formula1>With_perc</formula1>
    </dataValidation>
    <dataValidation type="decimal" allowBlank="1" showInputMessage="1" showErrorMessage="1" errorTitle="Return entered is too high" error="Maximum supported by this tool is 8%" sqref="L11:L13" xr:uid="{D6CB916C-FD98-4028-8894-67C10FE34D5A}">
      <formula1>0</formula1>
      <formula2>max_return</formula2>
    </dataValidation>
    <dataValidation type="list" allowBlank="1" showInputMessage="1" showErrorMessage="1" sqref="H11:H13 E14" xr:uid="{C65CEB73-ADE3-4BDA-BB8F-DC434693A432}">
      <formula1>Allowance_used</formula1>
    </dataValidation>
    <dataValidation type="list" allowBlank="1" showInputMessage="1" showErrorMessage="1" sqref="E13" xr:uid="{56A3804D-39F6-46B8-BF88-6EEA24574B33}">
      <formula1>Tax_rates</formula1>
    </dataValidation>
  </dataValidations>
  <pageMargins left="0.7" right="0.7" top="0.75" bottom="0.75" header="0.3" footer="0.3"/>
  <pageSetup paperSize="9" scale="49" orientation="landscape" r:id="rId1"/>
  <ignoredErrors>
    <ignoredError sqref="M1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D851-D67A-411D-B942-839FE6C8D733}">
  <sheetPr>
    <pageSetUpPr fitToPage="1"/>
  </sheetPr>
  <dimension ref="A1:V71"/>
  <sheetViews>
    <sheetView showGridLines="0" showRowColHeaders="0" zoomScale="80" zoomScaleNormal="80" workbookViewId="0">
      <selection activeCell="K14" sqref="K14"/>
    </sheetView>
  </sheetViews>
  <sheetFormatPr defaultColWidth="0" defaultRowHeight="14.25" zeroHeight="1" x14ac:dyDescent="0.2"/>
  <cols>
    <col min="1" max="1" width="9.140625" style="56" customWidth="1"/>
    <col min="2" max="9" width="16.7109375" style="56" customWidth="1"/>
    <col min="10" max="10" width="16.7109375" style="56" hidden="1" customWidth="1"/>
    <col min="11" max="19" width="16.7109375" style="56" customWidth="1"/>
    <col min="20" max="20" width="17.28515625" style="56" customWidth="1"/>
    <col min="21" max="21" width="16.7109375" style="56" customWidth="1"/>
    <col min="22" max="22" width="9.140625" style="56" customWidth="1"/>
    <col min="23" max="16384" width="9.140625" style="56" hidden="1"/>
  </cols>
  <sheetData>
    <row r="1" spans="2:22" ht="18.75" customHeight="1" x14ac:dyDescent="0.2"/>
    <row r="2" spans="2:22" ht="18.75" customHeight="1" thickBot="1" x14ac:dyDescent="0.25"/>
    <row r="3" spans="2:22" ht="18.75" customHeight="1" thickTop="1" x14ac:dyDescent="0.2">
      <c r="B3" s="57"/>
      <c r="C3" s="58"/>
      <c r="D3" s="58"/>
      <c r="E3" s="58"/>
      <c r="F3" s="58"/>
      <c r="G3" s="58"/>
      <c r="H3" s="58"/>
      <c r="I3" s="58"/>
      <c r="J3" s="58"/>
      <c r="K3" s="58"/>
      <c r="L3" s="58"/>
      <c r="M3" s="58"/>
      <c r="N3" s="58"/>
      <c r="O3" s="58"/>
      <c r="P3" s="58"/>
      <c r="Q3" s="58"/>
      <c r="R3" s="58"/>
      <c r="S3" s="58"/>
      <c r="T3" s="58"/>
      <c r="U3" s="59"/>
      <c r="V3" s="60"/>
    </row>
    <row r="4" spans="2:22" ht="18.75" customHeight="1" x14ac:dyDescent="0.2">
      <c r="B4" s="60"/>
      <c r="C4" s="61"/>
      <c r="D4" s="61"/>
      <c r="E4" s="61"/>
      <c r="F4" s="61"/>
      <c r="G4" s="61"/>
      <c r="H4" s="61"/>
      <c r="I4" s="61"/>
      <c r="J4" s="61"/>
      <c r="K4" s="61"/>
      <c r="L4" s="61"/>
      <c r="M4" s="61"/>
      <c r="N4" s="61"/>
      <c r="O4" s="61"/>
      <c r="P4" s="61"/>
      <c r="Q4" s="61"/>
      <c r="R4" s="61"/>
      <c r="S4" s="61"/>
      <c r="T4" s="61"/>
      <c r="U4" s="62"/>
      <c r="V4" s="61"/>
    </row>
    <row r="5" spans="2:22" ht="18.75" customHeight="1" x14ac:dyDescent="0.25">
      <c r="B5" s="60"/>
      <c r="D5" s="123"/>
      <c r="E5" s="134" t="s">
        <v>116</v>
      </c>
      <c r="F5" s="134"/>
      <c r="G5" s="134"/>
      <c r="H5" s="134"/>
      <c r="I5" s="134"/>
      <c r="J5" s="134"/>
      <c r="K5" s="134"/>
      <c r="M5" s="61"/>
      <c r="N5" s="61"/>
      <c r="O5" s="61"/>
      <c r="P5" s="61"/>
      <c r="Q5" s="61"/>
      <c r="R5" s="61"/>
      <c r="S5" s="61"/>
      <c r="T5" s="61"/>
      <c r="U5" s="62"/>
      <c r="V5" s="61"/>
    </row>
    <row r="6" spans="2:22" ht="18.75" customHeight="1" x14ac:dyDescent="0.2">
      <c r="B6" s="60"/>
      <c r="M6" s="61"/>
      <c r="U6" s="62"/>
    </row>
    <row r="7" spans="2:22" ht="18.75" customHeight="1" x14ac:dyDescent="0.25">
      <c r="B7" s="60"/>
      <c r="C7" s="133" t="s">
        <v>57</v>
      </c>
      <c r="D7" s="133"/>
      <c r="E7" s="133"/>
      <c r="F7" s="133" t="s">
        <v>55</v>
      </c>
      <c r="G7" s="133"/>
      <c r="H7" s="133"/>
      <c r="I7" s="145" t="s">
        <v>71</v>
      </c>
      <c r="J7" s="145"/>
      <c r="K7" s="145"/>
      <c r="L7" s="145"/>
      <c r="M7" s="61"/>
      <c r="O7" s="142" t="s">
        <v>42</v>
      </c>
      <c r="P7" s="142"/>
      <c r="Q7" s="142"/>
      <c r="U7" s="62"/>
    </row>
    <row r="8" spans="2:22" ht="18.75" customHeight="1" thickBot="1" x14ac:dyDescent="0.3">
      <c r="B8" s="60"/>
      <c r="C8" s="63"/>
      <c r="F8" s="63"/>
      <c r="H8" s="63"/>
      <c r="I8" s="63"/>
      <c r="J8" s="63"/>
      <c r="K8" s="63"/>
      <c r="M8" s="64" t="s">
        <v>32</v>
      </c>
      <c r="U8" s="62"/>
    </row>
    <row r="9" spans="2:22" ht="18.75" customHeight="1" thickBot="1" x14ac:dyDescent="0.3">
      <c r="B9" s="60"/>
      <c r="C9" s="111" t="s">
        <v>35</v>
      </c>
      <c r="D9" s="65"/>
      <c r="E9" s="66">
        <f>Current_GIA_value</f>
        <v>100000</v>
      </c>
      <c r="F9" s="111" t="s">
        <v>100</v>
      </c>
      <c r="G9" s="61"/>
      <c r="H9" s="67">
        <f>Div_all_used</f>
        <v>0</v>
      </c>
      <c r="I9" s="111" t="s">
        <v>104</v>
      </c>
      <c r="J9" s="68"/>
      <c r="K9" s="69"/>
      <c r="L9" s="70">
        <f>Cap_grwh</f>
        <v>0.02</v>
      </c>
      <c r="M9" s="71">
        <f>Total_return</f>
        <v>0.06</v>
      </c>
      <c r="O9" s="111" t="s">
        <v>108</v>
      </c>
      <c r="P9" s="72"/>
      <c r="Q9" s="73">
        <f ca="1">Tax_if_clsd</f>
        <v>1680</v>
      </c>
      <c r="U9" s="62"/>
    </row>
    <row r="10" spans="2:22" ht="18.75" customHeight="1" thickBot="1" x14ac:dyDescent="0.3">
      <c r="B10" s="60"/>
      <c r="C10" s="111" t="s">
        <v>36</v>
      </c>
      <c r="D10" s="65"/>
      <c r="E10" s="66">
        <f>Current_GIA_gain</f>
        <v>10000</v>
      </c>
      <c r="F10" s="111" t="s">
        <v>101</v>
      </c>
      <c r="G10" s="61"/>
      <c r="H10" s="67">
        <f>PSA_used</f>
        <v>0</v>
      </c>
      <c r="I10" s="111" t="s">
        <v>105</v>
      </c>
      <c r="J10" s="68"/>
      <c r="K10" s="69"/>
      <c r="L10" s="70">
        <f>Int_grwh</f>
        <v>0.01</v>
      </c>
      <c r="M10" s="74"/>
      <c r="N10" s="75"/>
      <c r="O10" s="111" t="s">
        <v>44</v>
      </c>
      <c r="P10" s="76"/>
      <c r="Q10" s="77">
        <f ca="1">IF(Year_recouped=11,"Not recouped",Year_recouped)</f>
        <v>4</v>
      </c>
      <c r="U10" s="62"/>
    </row>
    <row r="11" spans="2:22" ht="18.75" customHeight="1" thickBot="1" x14ac:dyDescent="0.3">
      <c r="B11" s="60"/>
      <c r="C11" s="111" t="s">
        <v>0</v>
      </c>
      <c r="D11" s="65"/>
      <c r="E11" s="67">
        <f>Current_tax_rate</f>
        <v>0.4</v>
      </c>
      <c r="F11" s="111" t="s">
        <v>102</v>
      </c>
      <c r="G11" s="61"/>
      <c r="H11" s="67">
        <f>AEA_used</f>
        <v>0</v>
      </c>
      <c r="I11" s="111" t="s">
        <v>106</v>
      </c>
      <c r="J11" s="68"/>
      <c r="K11" s="69"/>
      <c r="L11" s="70">
        <f>Div_grwh</f>
        <v>0.03</v>
      </c>
      <c r="M11" s="61"/>
      <c r="N11" s="75"/>
      <c r="O11" s="111" t="s">
        <v>43</v>
      </c>
      <c r="P11" s="72"/>
      <c r="Q11" s="73">
        <f ca="1">Tax_loss_sav-Tax_if_clsd</f>
        <v>4551.0498435572517</v>
      </c>
      <c r="U11" s="62"/>
    </row>
    <row r="12" spans="2:22" ht="18.75" customHeight="1" thickBot="1" x14ac:dyDescent="0.3">
      <c r="B12" s="60"/>
      <c r="C12" s="112" t="s">
        <v>56</v>
      </c>
      <c r="E12" s="78">
        <f>AEA_used_this_yr</f>
        <v>0</v>
      </c>
      <c r="F12" s="113" t="s">
        <v>103</v>
      </c>
      <c r="H12" s="79" t="str">
        <f>Rebase_gain</f>
        <v>Yes</v>
      </c>
      <c r="I12" s="111" t="s">
        <v>107</v>
      </c>
      <c r="J12" s="68"/>
      <c r="K12" s="69"/>
      <c r="L12" s="70">
        <f>Withs_level</f>
        <v>0</v>
      </c>
      <c r="M12" s="61"/>
      <c r="U12" s="62"/>
    </row>
    <row r="13" spans="2:22" ht="18.75" customHeight="1" thickBot="1" x14ac:dyDescent="0.3">
      <c r="B13" s="60"/>
      <c r="C13" s="80"/>
      <c r="E13" s="81"/>
      <c r="I13" s="80"/>
      <c r="L13" s="82"/>
      <c r="M13" s="61"/>
      <c r="U13" s="62"/>
    </row>
    <row r="14" spans="2:22" ht="18.75" customHeight="1" thickBot="1" x14ac:dyDescent="0.3">
      <c r="B14" s="60"/>
      <c r="C14" s="110" t="s">
        <v>33</v>
      </c>
      <c r="E14" s="83" t="s">
        <v>22</v>
      </c>
      <c r="F14" s="83"/>
      <c r="G14" s="84">
        <f ca="1">TODAY()</f>
        <v>45596</v>
      </c>
      <c r="H14" s="85">
        <f ca="1">IF(MONTH(G14)&lt;4,YEAR(G14),YEAR(G14)+1)</f>
        <v>2025</v>
      </c>
      <c r="M14" s="61"/>
      <c r="U14" s="62"/>
    </row>
    <row r="15" spans="2:22" ht="18.75" customHeight="1" x14ac:dyDescent="0.25">
      <c r="B15" s="60"/>
      <c r="C15" s="63"/>
      <c r="M15" s="61"/>
      <c r="U15" s="62"/>
    </row>
    <row r="16" spans="2:22" ht="18.75" customHeight="1" x14ac:dyDescent="0.25">
      <c r="B16" s="60"/>
      <c r="C16" s="80" t="s">
        <v>41</v>
      </c>
      <c r="M16" s="61"/>
      <c r="U16" s="62"/>
    </row>
    <row r="17" spans="2:21" ht="29.1" customHeight="1" x14ac:dyDescent="0.25">
      <c r="B17" s="86" t="s">
        <v>27</v>
      </c>
      <c r="C17" s="87" t="s">
        <v>16</v>
      </c>
      <c r="D17" s="87" t="s">
        <v>17</v>
      </c>
      <c r="E17" s="87" t="s">
        <v>7</v>
      </c>
      <c r="F17" s="87" t="s">
        <v>18</v>
      </c>
      <c r="G17" s="87" t="s">
        <v>5</v>
      </c>
      <c r="H17" s="87" t="s">
        <v>6</v>
      </c>
      <c r="I17" s="87" t="s">
        <v>24</v>
      </c>
      <c r="J17" s="87" t="s">
        <v>26</v>
      </c>
      <c r="K17" s="87" t="s">
        <v>25</v>
      </c>
      <c r="L17" s="87" t="s">
        <v>19</v>
      </c>
      <c r="M17" s="87" t="s">
        <v>20</v>
      </c>
      <c r="N17" s="87" t="s">
        <v>9</v>
      </c>
      <c r="O17" s="88" t="s">
        <v>4</v>
      </c>
      <c r="P17" s="87" t="s">
        <v>29</v>
      </c>
      <c r="Q17" s="88" t="s">
        <v>21</v>
      </c>
      <c r="R17" s="88" t="s">
        <v>28</v>
      </c>
      <c r="S17" s="88" t="s">
        <v>23</v>
      </c>
      <c r="T17" s="88" t="s">
        <v>30</v>
      </c>
      <c r="U17" s="89"/>
    </row>
    <row r="18" spans="2:21" ht="18.75" customHeight="1" x14ac:dyDescent="0.2">
      <c r="B18" s="90">
        <f>E9-E10</f>
        <v>90000</v>
      </c>
      <c r="C18" s="114">
        <v>1</v>
      </c>
      <c r="D18" s="95">
        <f>Current_GIA_value</f>
        <v>100000</v>
      </c>
      <c r="E18" s="95">
        <f t="shared" ref="E18:E27" si="0">D18*Cap_grwh</f>
        <v>2000</v>
      </c>
      <c r="F18" s="95">
        <f ca="1">VLOOKUP(U18,Allowances!A:D,2,FALSE)-(VLOOKUP(U18,Allowances!A:D,2,FALSE)*H$11)</f>
        <v>3000</v>
      </c>
      <c r="G18" s="95">
        <f t="shared" ref="G18:G27" si="1">Withs_level*Current_GIA_value</f>
        <v>0</v>
      </c>
      <c r="H18" s="95">
        <f>MAX(G18-(G18*((B18+M18+P18)/(B18*(1+SUM(L$9:L$11))))),0)</f>
        <v>0</v>
      </c>
      <c r="I18" s="95">
        <f t="shared" ref="I18:I27" ca="1" si="2">IF((H18-F18)*VLOOKUP(Current_tax_rate,Tax_lookup,3,FALSE)&lt;0,0,(H18-F18)*VLOOKUP(Current_tax_rate,Tax_lookup,3,FALSE))</f>
        <v>0</v>
      </c>
      <c r="J18" s="95">
        <f>E10+E18-H18</f>
        <v>12000</v>
      </c>
      <c r="K18" s="95">
        <f ca="1">IF(H$12="No",0,MIN(J18,MAX(F18-H18,0)))</f>
        <v>3000</v>
      </c>
      <c r="L18" s="95">
        <f ca="1">MAX(J18-K18,0)</f>
        <v>9000</v>
      </c>
      <c r="M18" s="95">
        <f t="shared" ref="M18:M27" si="3">D18*Int_grwh</f>
        <v>1000</v>
      </c>
      <c r="N18" s="121">
        <f ca="1">SUM(IF(E$11=0.2,VLOOKUP(U18,Allowances!A:D,4,FALSE)-(VLOOKUP(U18,Allowances!A:D,4,FALSE)*H$10),IF(E$11=0.4,VLOOKUP(U18,Allowances!A:D,4,FALSE)/2-((VLOOKUP(U18,Allowances!A:D,4,FALSE)*H$10)/2),IF(E$11=0.45,0,IF(E$11=0,VLOOKUP(U18,Allowances!A:D,4,FALSE)-(VLOOKUP(U18,Allowances!A:D,4,FALSE)*H$10),0)))))</f>
        <v>500</v>
      </c>
      <c r="O18" s="95">
        <f t="shared" ref="O18:O27" ca="1" si="4">IF((M18-N18)*Current_tax_rate&lt;0,0,(M18-N18)*Current_tax_rate)</f>
        <v>200</v>
      </c>
      <c r="P18" s="95">
        <f t="shared" ref="P18:P27" si="5">D18*Div_grwh</f>
        <v>3000</v>
      </c>
      <c r="Q18" s="95">
        <f ca="1">VLOOKUP(U18,Allowances!A:D,3,FALSE)-VLOOKUP(U18,Allowances!A:D,3,FALSE)*Div_all_used</f>
        <v>500</v>
      </c>
      <c r="R18" s="95">
        <f t="shared" ref="R18:R27" ca="1" si="6">IF(P18-Q18&lt;=0,0,(P18-Q18)*VLOOKUP(Current_tax_rate,Tax_lookup,2,FALSE))</f>
        <v>843.75</v>
      </c>
      <c r="S18" s="95">
        <f ca="1">I18+O18+R18</f>
        <v>1043.75</v>
      </c>
      <c r="T18" s="95">
        <f ca="1">D18+(E18+M18+P18)-(G18+I18+O18+R18)</f>
        <v>104956.25</v>
      </c>
      <c r="U18" s="89">
        <f ca="1">H14+1</f>
        <v>2026</v>
      </c>
    </row>
    <row r="19" spans="2:21" ht="18.75" customHeight="1" x14ac:dyDescent="0.2">
      <c r="B19" s="91">
        <f ca="1">B18-(G18-H18)+(M18-O18)+(P18-R18)-IFERROR(I18*((G18-H18)/G18),0)+IF(H$12="Yes",MIN(J18,MAX(F18-H18,0)),0)</f>
        <v>95956.25</v>
      </c>
      <c r="C19" s="114">
        <v>2</v>
      </c>
      <c r="D19" s="121">
        <f ca="1">T18</f>
        <v>104956.25</v>
      </c>
      <c r="E19" s="95">
        <f t="shared" ca="1" si="0"/>
        <v>2099.125</v>
      </c>
      <c r="F19" s="95">
        <f ca="1">VLOOKUP(U19,Allowances!A:D,2,FALSE)-(VLOOKUP(U19,Allowances!A:D,2,FALSE)*H$11)</f>
        <v>3000</v>
      </c>
      <c r="G19" s="95">
        <f t="shared" si="1"/>
        <v>0</v>
      </c>
      <c r="H19" s="95">
        <f t="shared" ref="H19:H22" ca="1" si="7">MAX(G19-(G19*((B19+M19+P19)/(B19*(1+SUM(L$9:L$11))))),0)</f>
        <v>0</v>
      </c>
      <c r="I19" s="95">
        <f t="shared" ca="1" si="2"/>
        <v>0</v>
      </c>
      <c r="J19" s="95">
        <f ca="1">(J18-K18)+(E19-H19)</f>
        <v>11099.125</v>
      </c>
      <c r="K19" s="95">
        <f t="shared" ref="K19:K27" ca="1" si="8">IF(H$12="No",0,MIN(J19,MAX(F19-H19,0)))</f>
        <v>3000</v>
      </c>
      <c r="L19" s="95">
        <f t="shared" ref="L19:L22" ca="1" si="9">MAX(J19-K19,0)</f>
        <v>8099.125</v>
      </c>
      <c r="M19" s="95">
        <f t="shared" ca="1" si="3"/>
        <v>1049.5625</v>
      </c>
      <c r="N19" s="121">
        <f ca="1">SUM(IF(E$11=0.2,VLOOKUP(U19,Allowances!A:D,4,FALSE)-(VLOOKUP(U19,Allowances!A:D,4,FALSE)*H$10),IF(E$11=0.4,VLOOKUP(U19,Allowances!A:D,4,FALSE)/2-((VLOOKUP(U19,Allowances!A:D,4,FALSE)*H$10)/2),IF(E$11=0.45,0,IF(E$11=0,VLOOKUP(U19,Allowances!A:D,4,FALSE)-(VLOOKUP(U19,Allowances!A:D,4,FALSE)*H$10),0)))))</f>
        <v>500</v>
      </c>
      <c r="O19" s="95">
        <f t="shared" ca="1" si="4"/>
        <v>219.82500000000002</v>
      </c>
      <c r="P19" s="95">
        <f t="shared" ca="1" si="5"/>
        <v>3148.6875</v>
      </c>
      <c r="Q19" s="95">
        <f ca="1">VLOOKUP(U19,Allowances!A:D,3,FALSE)-VLOOKUP(U19,Allowances!A:D,3,FALSE)*Div_all_used</f>
        <v>500</v>
      </c>
      <c r="R19" s="95">
        <f t="shared" ca="1" si="6"/>
        <v>893.93203125000002</v>
      </c>
      <c r="S19" s="95">
        <f ca="1">I19+O19+R19</f>
        <v>1113.75703125</v>
      </c>
      <c r="T19" s="95">
        <f ca="1">D19+(E19+M19+P19)-(G19+I19+O19+R19)</f>
        <v>110139.86796875</v>
      </c>
      <c r="U19" s="89">
        <f ca="1">U18+1</f>
        <v>2027</v>
      </c>
    </row>
    <row r="20" spans="2:21" ht="18.75" customHeight="1" x14ac:dyDescent="0.2">
      <c r="B20" s="91">
        <f t="shared" ref="B20:B27" ca="1" si="10">B19-(G19-H19)+(M19-O19)+(P19-R19)-IFERROR(I19*((G19-H19)/G19),0)+IF(H$12="Yes",MIN(J19,MAX(F19-H19,0)),0)</f>
        <v>102040.74296875</v>
      </c>
      <c r="C20" s="114">
        <v>3</v>
      </c>
      <c r="D20" s="121">
        <f t="shared" ref="D20:D27" ca="1" si="11">T19</f>
        <v>110139.86796875</v>
      </c>
      <c r="E20" s="95">
        <f t="shared" ca="1" si="0"/>
        <v>2202.7973593749998</v>
      </c>
      <c r="F20" s="95">
        <f ca="1">VLOOKUP(U20,Allowances!A:D,2,FALSE)-(VLOOKUP(U20,Allowances!A:D,2,FALSE)*H$11)</f>
        <v>3000</v>
      </c>
      <c r="G20" s="95">
        <f t="shared" si="1"/>
        <v>0</v>
      </c>
      <c r="H20" s="95">
        <f t="shared" ca="1" si="7"/>
        <v>0</v>
      </c>
      <c r="I20" s="95">
        <f t="shared" ca="1" si="2"/>
        <v>0</v>
      </c>
      <c r="J20" s="95">
        <f t="shared" ref="J20:J22" ca="1" si="12">(J19-K19)+(E20-H20)</f>
        <v>10301.922359374999</v>
      </c>
      <c r="K20" s="95">
        <f t="shared" ca="1" si="8"/>
        <v>3000</v>
      </c>
      <c r="L20" s="95">
        <f t="shared" ca="1" si="9"/>
        <v>7301.9223593749994</v>
      </c>
      <c r="M20" s="95">
        <f t="shared" ca="1" si="3"/>
        <v>1101.3986796874999</v>
      </c>
      <c r="N20" s="121">
        <f ca="1">SUM(IF(E$11=0.2,VLOOKUP(U20,Allowances!A:D,4,FALSE)-(VLOOKUP(U20,Allowances!A:D,4,FALSE)*H$10),IF(E$11=0.4,VLOOKUP(U20,Allowances!A:D,4,FALSE)/2-((VLOOKUP(U20,Allowances!A:D,4,FALSE)*H$10)/2),IF(E$11=0.45,0,IF(E$11=0,VLOOKUP(U20,Allowances!A:D,4,FALSE)-(VLOOKUP(U20,Allowances!A:D,4,FALSE)*H$10),0)))))</f>
        <v>500</v>
      </c>
      <c r="O20" s="95">
        <f t="shared" ca="1" si="4"/>
        <v>240.55947187499999</v>
      </c>
      <c r="P20" s="95">
        <f t="shared" ca="1" si="5"/>
        <v>3304.1960390624999</v>
      </c>
      <c r="Q20" s="95">
        <f ca="1">VLOOKUP(U20,Allowances!A:D,3,FALSE)-VLOOKUP(U20,Allowances!A:D,3,FALSE)*Div_all_used</f>
        <v>500</v>
      </c>
      <c r="R20" s="95">
        <f t="shared" ca="1" si="6"/>
        <v>946.41616318359377</v>
      </c>
      <c r="S20" s="95">
        <f ca="1">I20+O20+R20</f>
        <v>1186.9756350585938</v>
      </c>
      <c r="T20" s="95">
        <f ca="1">D20+(E20+M20+P20)-(G20+I20+O20+R20)</f>
        <v>115561.28441181641</v>
      </c>
      <c r="U20" s="89">
        <f t="shared" ref="U20:U23" ca="1" si="13">U19+1</f>
        <v>2028</v>
      </c>
    </row>
    <row r="21" spans="2:21" ht="18.75" customHeight="1" x14ac:dyDescent="0.2">
      <c r="B21" s="91">
        <f t="shared" ca="1" si="10"/>
        <v>108259.3620524414</v>
      </c>
      <c r="C21" s="114">
        <v>4</v>
      </c>
      <c r="D21" s="121">
        <f t="shared" ca="1" si="11"/>
        <v>115561.28441181641</v>
      </c>
      <c r="E21" s="95">
        <f t="shared" ca="1" si="0"/>
        <v>2311.2256882363281</v>
      </c>
      <c r="F21" s="95">
        <f ca="1">VLOOKUP(U21,Allowances!A:D,2,FALSE)-(VLOOKUP(U21,Allowances!A:D,2,FALSE)*H$11)</f>
        <v>3060</v>
      </c>
      <c r="G21" s="95">
        <f t="shared" si="1"/>
        <v>0</v>
      </c>
      <c r="H21" s="95">
        <f t="shared" ca="1" si="7"/>
        <v>0</v>
      </c>
      <c r="I21" s="95">
        <f t="shared" ca="1" si="2"/>
        <v>0</v>
      </c>
      <c r="J21" s="95">
        <f t="shared" ca="1" si="12"/>
        <v>9613.1480476113284</v>
      </c>
      <c r="K21" s="95">
        <f t="shared" ca="1" si="8"/>
        <v>3060</v>
      </c>
      <c r="L21" s="95">
        <f t="shared" ca="1" si="9"/>
        <v>6553.1480476113284</v>
      </c>
      <c r="M21" s="95">
        <f t="shared" ca="1" si="3"/>
        <v>1155.612844118164</v>
      </c>
      <c r="N21" s="121">
        <f ca="1">SUM(IF(E$11=0.2,VLOOKUP(U21,Allowances!A:D,4,FALSE)-(VLOOKUP(U21,Allowances!A:D,4,FALSE)*H$10),IF(E$11=0.4,VLOOKUP(U21,Allowances!A:D,4,FALSE)/2-((VLOOKUP(U21,Allowances!A:D,4,FALSE)*H$10)/2),IF(E$11=0.45,0,IF(E$11=0,VLOOKUP(U21,Allowances!A:D,4,FALSE)-(VLOOKUP(U21,Allowances!A:D,4,FALSE)*H$10),0)))))</f>
        <v>510</v>
      </c>
      <c r="O21" s="95">
        <f t="shared" ca="1" si="4"/>
        <v>258.24513764726561</v>
      </c>
      <c r="P21" s="95">
        <f t="shared" ca="1" si="5"/>
        <v>3466.8385323544921</v>
      </c>
      <c r="Q21" s="95">
        <f ca="1">VLOOKUP(U21,Allowances!A:D,3,FALSE)-VLOOKUP(U21,Allowances!A:D,3,FALSE)*Div_all_used</f>
        <v>510</v>
      </c>
      <c r="R21" s="95">
        <f t="shared" ca="1" si="6"/>
        <v>997.93300466964115</v>
      </c>
      <c r="S21" s="95">
        <f ca="1">I21+O21+R21</f>
        <v>1256.1781423169068</v>
      </c>
      <c r="T21" s="95">
        <f ca="1">D21+(E21+M21+P21)-(G21+I21+O21+R21)</f>
        <v>121238.78333420849</v>
      </c>
      <c r="U21" s="89">
        <f t="shared" ca="1" si="13"/>
        <v>2029</v>
      </c>
    </row>
    <row r="22" spans="2:21" ht="18.75" customHeight="1" x14ac:dyDescent="0.2">
      <c r="B22" s="91">
        <f t="shared" ca="1" si="10"/>
        <v>114685.63528659716</v>
      </c>
      <c r="C22" s="114">
        <v>5</v>
      </c>
      <c r="D22" s="121">
        <f t="shared" ca="1" si="11"/>
        <v>121238.78333420849</v>
      </c>
      <c r="E22" s="95">
        <f t="shared" ca="1" si="0"/>
        <v>2424.7756666841701</v>
      </c>
      <c r="F22" s="95">
        <f ca="1">VLOOKUP(U22,Allowances!A:D,2,FALSE)-(VLOOKUP(U22,Allowances!A:D,2,FALSE)*H$11)</f>
        <v>3122</v>
      </c>
      <c r="G22" s="95">
        <f t="shared" si="1"/>
        <v>0</v>
      </c>
      <c r="H22" s="95">
        <f t="shared" ca="1" si="7"/>
        <v>0</v>
      </c>
      <c r="I22" s="95">
        <f t="shared" ca="1" si="2"/>
        <v>0</v>
      </c>
      <c r="J22" s="95">
        <f t="shared" ca="1" si="12"/>
        <v>8977.9237142954989</v>
      </c>
      <c r="K22" s="95">
        <f t="shared" ca="1" si="8"/>
        <v>3122</v>
      </c>
      <c r="L22" s="95">
        <f t="shared" ca="1" si="9"/>
        <v>5855.9237142954989</v>
      </c>
      <c r="M22" s="95">
        <f t="shared" ca="1" si="3"/>
        <v>1212.3878333420851</v>
      </c>
      <c r="N22" s="121">
        <f ca="1">SUM(IF(E$11=0.2,VLOOKUP(U22,Allowances!A:D,4,FALSE)-(VLOOKUP(U22,Allowances!A:D,4,FALSE)*H$10),IF(E$11=0.4,VLOOKUP(U22,Allowances!A:D,4,FALSE)/2-((VLOOKUP(U22,Allowances!A:D,4,FALSE)*H$10)/2),IF(E$11=0.45,0,IF(E$11=0,VLOOKUP(U22,Allowances!A:D,4,FALSE)-(VLOOKUP(U22,Allowances!A:D,4,FALSE)*H$10),0)))))</f>
        <v>520.5</v>
      </c>
      <c r="O22" s="95">
        <f t="shared" ca="1" si="4"/>
        <v>276.75513333683404</v>
      </c>
      <c r="P22" s="95">
        <f t="shared" ca="1" si="5"/>
        <v>3637.1635000262545</v>
      </c>
      <c r="Q22" s="95">
        <f ca="1">VLOOKUP(U22,Allowances!A:D,3,FALSE)-VLOOKUP(U22,Allowances!A:D,3,FALSE)*Div_all_used</f>
        <v>521</v>
      </c>
      <c r="R22" s="95">
        <f t="shared" ca="1" si="6"/>
        <v>1051.7051812588609</v>
      </c>
      <c r="S22" s="95">
        <f ca="1">I22+O22+R22</f>
        <v>1328.4603145956949</v>
      </c>
      <c r="T22" s="95">
        <f ca="1">D22+(E22+M22+P22)-(G22+I22+O22+R22)</f>
        <v>127184.65001966531</v>
      </c>
      <c r="U22" s="89">
        <f t="shared" ca="1" si="13"/>
        <v>2030</v>
      </c>
    </row>
    <row r="23" spans="2:21" ht="18.75" customHeight="1" x14ac:dyDescent="0.2">
      <c r="B23" s="91">
        <f t="shared" ca="1" si="10"/>
        <v>121328.72630536981</v>
      </c>
      <c r="C23" s="114">
        <v>6</v>
      </c>
      <c r="D23" s="121">
        <f t="shared" ca="1" si="11"/>
        <v>127184.65001966531</v>
      </c>
      <c r="E23" s="95">
        <f t="shared" ca="1" si="0"/>
        <v>2543.6930003933062</v>
      </c>
      <c r="F23" s="95">
        <f ca="1">VLOOKUP(U23,Allowances!A:D,2,FALSE)-(VLOOKUP(U23,Allowances!A:D,2,FALSE)*H$11)</f>
        <v>3185</v>
      </c>
      <c r="G23" s="95">
        <f t="shared" si="1"/>
        <v>0</v>
      </c>
      <c r="H23" s="95">
        <f t="shared" ref="H23:H27" ca="1" si="14">MAX(G23-(G23*((B23+M23+P23)/(B23*(1+SUM(L$9:L$11))))),0)</f>
        <v>0</v>
      </c>
      <c r="I23" s="95">
        <f t="shared" ca="1" si="2"/>
        <v>0</v>
      </c>
      <c r="J23" s="95">
        <f t="shared" ref="J23:J27" ca="1" si="15">(J22-K22)+(E23-H23)</f>
        <v>8399.6167146888056</v>
      </c>
      <c r="K23" s="95">
        <f t="shared" ca="1" si="8"/>
        <v>3185</v>
      </c>
      <c r="L23" s="95">
        <f t="shared" ref="L23:L27" ca="1" si="16">MAX(J23-K23,0)</f>
        <v>5214.6167146888056</v>
      </c>
      <c r="M23" s="95">
        <f t="shared" ca="1" si="3"/>
        <v>1271.8465001966531</v>
      </c>
      <c r="N23" s="121">
        <f ca="1">SUM(IF(E$11=0.2,VLOOKUP(U23,Allowances!A:D,4,FALSE)-(VLOOKUP(U23,Allowances!A:D,4,FALSE)*H$10),IF(E$11=0.4,VLOOKUP(U23,Allowances!A:D,4,FALSE)/2-((VLOOKUP(U23,Allowances!A:D,4,FALSE)*H$10)/2),IF(E$11=0.45,0,IF(E$11=0,VLOOKUP(U23,Allowances!A:D,4,FALSE)-(VLOOKUP(U23,Allowances!A:D,4,FALSE)*H$10),0)))))</f>
        <v>531</v>
      </c>
      <c r="O23" s="95">
        <f t="shared" ca="1" si="4"/>
        <v>296.33860007866127</v>
      </c>
      <c r="P23" s="95">
        <f t="shared" ca="1" si="5"/>
        <v>3815.5395005899591</v>
      </c>
      <c r="Q23" s="95">
        <f ca="1">VLOOKUP(U23,Allowances!A:D,3,FALSE)-VLOOKUP(U23,Allowances!A:D,3,FALSE)*Div_all_used</f>
        <v>532</v>
      </c>
      <c r="R23" s="95">
        <f t="shared" ca="1" si="6"/>
        <v>1108.1945814491112</v>
      </c>
      <c r="S23" s="95">
        <f t="shared" ref="S23:S27" ca="1" si="17">I23+O23+R23</f>
        <v>1404.5331815277725</v>
      </c>
      <c r="T23" s="95">
        <f t="shared" ref="T23:T27" ca="1" si="18">D23+(E23+M23+P23)-(G23+I23+O23+R23)</f>
        <v>133411.19583931746</v>
      </c>
      <c r="U23" s="89">
        <f t="shared" ca="1" si="13"/>
        <v>2031</v>
      </c>
    </row>
    <row r="24" spans="2:21" ht="18.75" customHeight="1" x14ac:dyDescent="0.2">
      <c r="B24" s="91">
        <f t="shared" ca="1" si="10"/>
        <v>128196.57912462865</v>
      </c>
      <c r="C24" s="114">
        <v>7</v>
      </c>
      <c r="D24" s="121">
        <f t="shared" ca="1" si="11"/>
        <v>133411.19583931746</v>
      </c>
      <c r="E24" s="95">
        <f t="shared" ca="1" si="0"/>
        <v>2668.223916786349</v>
      </c>
      <c r="F24" s="95">
        <f ca="1">VLOOKUP(U24,Allowances!A:D,2,FALSE)-(VLOOKUP(U24,Allowances!A:D,2,FALSE)*H$11)</f>
        <v>3249</v>
      </c>
      <c r="G24" s="95">
        <f t="shared" si="1"/>
        <v>0</v>
      </c>
      <c r="H24" s="95">
        <f t="shared" ca="1" si="14"/>
        <v>0</v>
      </c>
      <c r="I24" s="95">
        <f t="shared" ca="1" si="2"/>
        <v>0</v>
      </c>
      <c r="J24" s="95">
        <f t="shared" ca="1" si="15"/>
        <v>7882.8406314751546</v>
      </c>
      <c r="K24" s="95">
        <f t="shared" ca="1" si="8"/>
        <v>3249</v>
      </c>
      <c r="L24" s="95">
        <f t="shared" ca="1" si="16"/>
        <v>4633.8406314751546</v>
      </c>
      <c r="M24" s="95">
        <f t="shared" ca="1" si="3"/>
        <v>1334.1119583931745</v>
      </c>
      <c r="N24" s="121">
        <f ca="1">SUM(IF(E$11=0.2,VLOOKUP(U24,Allowances!A:D,4,FALSE)-(VLOOKUP(U24,Allowances!A:D,4,FALSE)*H$10),IF(E$11=0.4,VLOOKUP(U24,Allowances!A:D,4,FALSE)/2-((VLOOKUP(U24,Allowances!A:D,4,FALSE)*H$10)/2),IF(E$11=0.45,0,IF(E$11=0,VLOOKUP(U24,Allowances!A:D,4,FALSE)-(VLOOKUP(U24,Allowances!A:D,4,FALSE)*H$10),0)))))</f>
        <v>542</v>
      </c>
      <c r="O24" s="95">
        <f t="shared" ca="1" si="4"/>
        <v>316.84478335726982</v>
      </c>
      <c r="P24" s="95">
        <f t="shared" ca="1" si="5"/>
        <v>4002.3358751795236</v>
      </c>
      <c r="Q24" s="95">
        <f ca="1">VLOOKUP(U24,Allowances!A:D,3,FALSE)-VLOOKUP(U24,Allowances!A:D,3,FALSE)*Div_all_used</f>
        <v>543</v>
      </c>
      <c r="R24" s="95">
        <f t="shared" ca="1" si="6"/>
        <v>1167.5258578730893</v>
      </c>
      <c r="S24" s="95">
        <f t="shared" ca="1" si="17"/>
        <v>1484.3706412303591</v>
      </c>
      <c r="T24" s="95">
        <f t="shared" ca="1" si="18"/>
        <v>139931.49694844612</v>
      </c>
      <c r="U24" s="89">
        <f ca="1">U23+1</f>
        <v>2032</v>
      </c>
    </row>
    <row r="25" spans="2:21" ht="18.75" customHeight="1" x14ac:dyDescent="0.2">
      <c r="B25" s="91">
        <f t="shared" ca="1" si="10"/>
        <v>135297.656316971</v>
      </c>
      <c r="C25" s="114">
        <v>8</v>
      </c>
      <c r="D25" s="121">
        <f t="shared" ca="1" si="11"/>
        <v>139931.49694844612</v>
      </c>
      <c r="E25" s="95">
        <f t="shared" ca="1" si="0"/>
        <v>2798.6299389689225</v>
      </c>
      <c r="F25" s="95">
        <f ca="1">VLOOKUP(U25,Allowances!A:D,2,FALSE)-(VLOOKUP(U25,Allowances!A:D,2,FALSE)*H$11)</f>
        <v>3314</v>
      </c>
      <c r="G25" s="95">
        <f t="shared" si="1"/>
        <v>0</v>
      </c>
      <c r="H25" s="95">
        <f t="shared" ca="1" si="14"/>
        <v>0</v>
      </c>
      <c r="I25" s="95">
        <f t="shared" ca="1" si="2"/>
        <v>0</v>
      </c>
      <c r="J25" s="95">
        <f t="shared" ca="1" si="15"/>
        <v>7432.4705704440767</v>
      </c>
      <c r="K25" s="95">
        <f t="shared" ca="1" si="8"/>
        <v>3314</v>
      </c>
      <c r="L25" s="95">
        <f t="shared" ca="1" si="16"/>
        <v>4118.4705704440767</v>
      </c>
      <c r="M25" s="95">
        <f t="shared" ca="1" si="3"/>
        <v>1399.3149694844612</v>
      </c>
      <c r="N25" s="121">
        <f ca="1">SUM(IF(E$11=0.2,VLOOKUP(U25,Allowances!A:D,4,FALSE)-(VLOOKUP(U25,Allowances!A:D,4,FALSE)*H$10),IF(E$11=0.4,VLOOKUP(U25,Allowances!A:D,4,FALSE)/2-((VLOOKUP(U25,Allowances!A:D,4,FALSE)*H$10)/2),IF(E$11=0.45,0,IF(E$11=0,VLOOKUP(U25,Allowances!A:D,4,FALSE)-(VLOOKUP(U25,Allowances!A:D,4,FALSE)*H$10),0)))))</f>
        <v>553</v>
      </c>
      <c r="O25" s="95">
        <f t="shared" ca="1" si="4"/>
        <v>338.52598779378451</v>
      </c>
      <c r="P25" s="95">
        <f t="shared" ca="1" si="5"/>
        <v>4197.9449084533835</v>
      </c>
      <c r="Q25" s="95">
        <f ca="1">VLOOKUP(U25,Allowances!A:D,3,FALSE)-VLOOKUP(U25,Allowances!A:D,3,FALSE)*Div_all_used</f>
        <v>554</v>
      </c>
      <c r="R25" s="95">
        <f t="shared" ca="1" si="6"/>
        <v>1229.8314066030171</v>
      </c>
      <c r="S25" s="95">
        <f t="shared" ca="1" si="17"/>
        <v>1568.3573943968015</v>
      </c>
      <c r="T25" s="95">
        <f t="shared" ca="1" si="18"/>
        <v>146759.02937095609</v>
      </c>
      <c r="U25" s="89">
        <f t="shared" ref="U25:U27" ca="1" si="19">U24+1</f>
        <v>2033</v>
      </c>
    </row>
    <row r="26" spans="2:21" ht="18.75" customHeight="1" x14ac:dyDescent="0.2">
      <c r="B26" s="91">
        <f t="shared" ca="1" si="10"/>
        <v>142640.55880051205</v>
      </c>
      <c r="C26" s="114">
        <v>9</v>
      </c>
      <c r="D26" s="121">
        <f t="shared" ca="1" si="11"/>
        <v>146759.02937095609</v>
      </c>
      <c r="E26" s="95">
        <f t="shared" ca="1" si="0"/>
        <v>2935.1805874191218</v>
      </c>
      <c r="F26" s="95">
        <f ca="1">VLOOKUP(U26,Allowances!A:D,2,FALSE)-(VLOOKUP(U26,Allowances!A:D,2,FALSE)*H$11)</f>
        <v>3381</v>
      </c>
      <c r="G26" s="95">
        <f t="shared" si="1"/>
        <v>0</v>
      </c>
      <c r="H26" s="95">
        <f t="shared" ca="1" si="14"/>
        <v>0</v>
      </c>
      <c r="I26" s="95">
        <f t="shared" ca="1" si="2"/>
        <v>0</v>
      </c>
      <c r="J26" s="95">
        <f t="shared" ca="1" si="15"/>
        <v>7053.651157863198</v>
      </c>
      <c r="K26" s="95">
        <f t="shared" ca="1" si="8"/>
        <v>3381</v>
      </c>
      <c r="L26" s="95">
        <f t="shared" ca="1" si="16"/>
        <v>3672.651157863198</v>
      </c>
      <c r="M26" s="95">
        <f t="shared" ca="1" si="3"/>
        <v>1467.5902937095609</v>
      </c>
      <c r="N26" s="121">
        <f ca="1">SUM(IF(E$11=0.2,VLOOKUP(U26,Allowances!A:D,4,FALSE)-(VLOOKUP(U26,Allowances!A:D,4,FALSE)*H$10),IF(E$11=0.4,VLOOKUP(U26,Allowances!A:D,4,FALSE)/2-((VLOOKUP(U26,Allowances!A:D,4,FALSE)*H$10)/2),IF(E$11=0.45,0,IF(E$11=0,VLOOKUP(U26,Allowances!A:D,4,FALSE)-(VLOOKUP(U26,Allowances!A:D,4,FALSE)*H$10),0)))))</f>
        <v>564.5</v>
      </c>
      <c r="O26" s="95">
        <f t="shared" ca="1" si="4"/>
        <v>361.23611748382439</v>
      </c>
      <c r="P26" s="95">
        <f t="shared" ca="1" si="5"/>
        <v>4402.770881128683</v>
      </c>
      <c r="Q26" s="95">
        <f ca="1">VLOOKUP(U26,Allowances!A:D,3,FALSE)-VLOOKUP(U26,Allowances!A:D,3,FALSE)*Div_all_used</f>
        <v>566</v>
      </c>
      <c r="R26" s="95">
        <f t="shared" ca="1" si="6"/>
        <v>1294.9101723809306</v>
      </c>
      <c r="S26" s="95">
        <f t="shared" ca="1" si="17"/>
        <v>1656.1462898647551</v>
      </c>
      <c r="T26" s="95">
        <f t="shared" ca="1" si="18"/>
        <v>153908.42484334871</v>
      </c>
      <c r="U26" s="89">
        <f t="shared" ca="1" si="19"/>
        <v>2034</v>
      </c>
    </row>
    <row r="27" spans="2:21" ht="18.75" customHeight="1" thickBot="1" x14ac:dyDescent="0.25">
      <c r="B27" s="91">
        <f t="shared" ca="1" si="10"/>
        <v>150235.77368548553</v>
      </c>
      <c r="C27" s="114">
        <v>10</v>
      </c>
      <c r="D27" s="121">
        <f t="shared" ca="1" si="11"/>
        <v>153908.42484334871</v>
      </c>
      <c r="E27" s="95">
        <f t="shared" ca="1" si="0"/>
        <v>3078.1684968669742</v>
      </c>
      <c r="F27" s="95">
        <f ca="1">VLOOKUP(U27,Allowances!A:D,2,FALSE)-(VLOOKUP(U27,Allowances!A:D,2,FALSE)*H$11)</f>
        <v>3449</v>
      </c>
      <c r="G27" s="95">
        <f t="shared" si="1"/>
        <v>0</v>
      </c>
      <c r="H27" s="95">
        <f t="shared" ca="1" si="14"/>
        <v>0</v>
      </c>
      <c r="I27" s="95">
        <f t="shared" ca="1" si="2"/>
        <v>0</v>
      </c>
      <c r="J27" s="95">
        <f t="shared" ca="1" si="15"/>
        <v>6750.8196547301723</v>
      </c>
      <c r="K27" s="95">
        <f t="shared" ca="1" si="8"/>
        <v>3449</v>
      </c>
      <c r="L27" s="95">
        <f t="shared" ca="1" si="16"/>
        <v>3301.8196547301723</v>
      </c>
      <c r="M27" s="95">
        <f t="shared" ca="1" si="3"/>
        <v>1539.0842484334871</v>
      </c>
      <c r="N27" s="121">
        <f ca="1">SUM(IF(E$11=0.2,VLOOKUP(U27,Allowances!A:D,4,FALSE)-(VLOOKUP(U27,Allowances!A:D,4,FALSE)*H$10),IF(E$11=0.4,VLOOKUP(U27,Allowances!A:D,4,FALSE)/2-((VLOOKUP(U27,Allowances!A:D,4,FALSE)*H$10)/2),IF(E$11=0.45,0,IF(E$11=0,VLOOKUP(U27,Allowances!A:D,4,FALSE)-(VLOOKUP(U27,Allowances!A:D,4,FALSE)*H$10),0)))))</f>
        <v>576</v>
      </c>
      <c r="O27" s="95">
        <f t="shared" ca="1" si="4"/>
        <v>385.23369937339487</v>
      </c>
      <c r="P27" s="95">
        <f t="shared" ca="1" si="5"/>
        <v>4617.2527453004614</v>
      </c>
      <c r="Q27" s="95">
        <f ca="1">VLOOKUP(U27,Allowances!A:D,3,FALSE)-VLOOKUP(U27,Allowances!A:D,3,FALSE)*Div_all_used</f>
        <v>578</v>
      </c>
      <c r="R27" s="95">
        <f t="shared" ca="1" si="6"/>
        <v>1363.2478015389058</v>
      </c>
      <c r="S27" s="115">
        <f t="shared" ca="1" si="17"/>
        <v>1748.4815009123008</v>
      </c>
      <c r="T27" s="95">
        <f t="shared" ca="1" si="18"/>
        <v>161394.44883303731</v>
      </c>
      <c r="U27" s="89">
        <f t="shared" ca="1" si="19"/>
        <v>2035</v>
      </c>
    </row>
    <row r="28" spans="2:21" ht="18.75" customHeight="1" thickTop="1" x14ac:dyDescent="0.2">
      <c r="B28" s="60"/>
      <c r="G28" s="92">
        <f>SUM(G18:G27)</f>
        <v>0</v>
      </c>
      <c r="I28" s="92">
        <f ca="1">SUM(I18:I27)</f>
        <v>0</v>
      </c>
      <c r="O28" s="92">
        <f ca="1">SUM(O18:O27)</f>
        <v>2893.5639309460344</v>
      </c>
      <c r="Q28" s="93"/>
      <c r="R28" s="92">
        <f ca="1">SUM(R18:R27)</f>
        <v>10897.44620020715</v>
      </c>
      <c r="S28" s="92">
        <f ca="1">SUM(S18:S27)</f>
        <v>13791.010131153185</v>
      </c>
      <c r="U28" s="62"/>
    </row>
    <row r="29" spans="2:21" ht="18.75" customHeight="1" x14ac:dyDescent="0.25">
      <c r="B29" s="60"/>
      <c r="C29" s="80"/>
      <c r="F29" s="94">
        <f ca="1">MAX((Current_GIA_gain-(VLOOKUP(TaxYR_end,Allowances!A:B,2,FALSE)*(1-AEA_used_this_yr))),0)*VLOOKUP(Current_tax_rate,Tax_lookup,3,FALSE)</f>
        <v>1680</v>
      </c>
      <c r="U29" s="62"/>
    </row>
    <row r="30" spans="2:21" ht="18.75" customHeight="1" x14ac:dyDescent="0.25">
      <c r="B30" s="60"/>
      <c r="C30" s="80" t="s">
        <v>46</v>
      </c>
      <c r="Q30" s="80" t="s">
        <v>67</v>
      </c>
      <c r="R30" s="88" t="s">
        <v>65</v>
      </c>
      <c r="S30" s="95">
        <f ca="1">F29*-1</f>
        <v>-1680</v>
      </c>
      <c r="U30" s="62"/>
    </row>
    <row r="31" spans="2:21" ht="29.1" customHeight="1" x14ac:dyDescent="0.25">
      <c r="B31" s="60"/>
      <c r="C31" s="87" t="s">
        <v>16</v>
      </c>
      <c r="D31" s="87" t="s">
        <v>17</v>
      </c>
      <c r="E31" s="87" t="s">
        <v>7</v>
      </c>
      <c r="F31" s="87" t="s">
        <v>38</v>
      </c>
      <c r="G31" s="87" t="s">
        <v>20</v>
      </c>
      <c r="H31" s="88" t="s">
        <v>37</v>
      </c>
      <c r="I31" s="87" t="s">
        <v>29</v>
      </c>
      <c r="J31" s="87" t="s">
        <v>25</v>
      </c>
      <c r="K31" s="87" t="s">
        <v>38</v>
      </c>
      <c r="L31" s="87" t="s">
        <v>40</v>
      </c>
      <c r="M31" s="87" t="s">
        <v>5</v>
      </c>
      <c r="N31" s="88" t="s">
        <v>30</v>
      </c>
      <c r="O31" s="87" t="s">
        <v>70</v>
      </c>
      <c r="P31" s="96"/>
      <c r="Q31" s="117" t="s">
        <v>66</v>
      </c>
      <c r="R31" s="118" t="s">
        <v>68</v>
      </c>
      <c r="S31" s="118" t="s">
        <v>69</v>
      </c>
      <c r="U31" s="62"/>
    </row>
    <row r="32" spans="2:21" ht="18.75" customHeight="1" x14ac:dyDescent="0.2">
      <c r="B32" s="90">
        <f ca="1">E9-Q9</f>
        <v>98320</v>
      </c>
      <c r="C32" s="114">
        <v>1</v>
      </c>
      <c r="D32" s="95">
        <f ca="1">Opening_CIB</f>
        <v>98320</v>
      </c>
      <c r="E32" s="95">
        <f t="shared" ref="E32:E41" ca="1" si="20">D32*Cap_grwh</f>
        <v>1966.4</v>
      </c>
      <c r="F32" s="95">
        <f t="shared" ref="F32:F41" ca="1" si="21">E32*Lifecorate</f>
        <v>393.28000000000003</v>
      </c>
      <c r="G32" s="95">
        <f t="shared" ref="G32:G41" ca="1" si="22">D32*Int_grwh</f>
        <v>983.2</v>
      </c>
      <c r="H32" s="95">
        <f t="shared" ref="H32:H41" ca="1" si="23">G32*Lifecorate</f>
        <v>196.64000000000001</v>
      </c>
      <c r="I32" s="95">
        <f t="shared" ref="I32:I41" ca="1" si="24">D32*Div_grwh</f>
        <v>2949.6</v>
      </c>
      <c r="J32" s="95"/>
      <c r="K32" s="95">
        <f t="shared" ref="K32:K41" ca="1" si="25">I32*Lifecoratediv</f>
        <v>0</v>
      </c>
      <c r="L32" s="95">
        <f ca="1">SUM(F32,H32,K32)</f>
        <v>589.92000000000007</v>
      </c>
      <c r="M32" s="95">
        <f t="shared" ref="M32:M41" ca="1" si="26">Opening_CIB*Withs_level</f>
        <v>0</v>
      </c>
      <c r="N32" s="95">
        <f ca="1">(D32+E32+G32+I32)-(F32+H32-K32)-M32</f>
        <v>103629.28</v>
      </c>
      <c r="O32" s="95">
        <f ca="1">S18-L32</f>
        <v>453.82999999999993</v>
      </c>
      <c r="P32" s="97">
        <f ca="1">F29-O32</f>
        <v>1226.17</v>
      </c>
      <c r="Q32" s="119">
        <v>1</v>
      </c>
      <c r="R32" s="95">
        <f ca="1">SUM(O$32:O32)</f>
        <v>453.82999999999993</v>
      </c>
      <c r="S32" s="95">
        <f ca="1">S$30+R32</f>
        <v>-1226.17</v>
      </c>
      <c r="T32" s="98"/>
      <c r="U32" s="62"/>
    </row>
    <row r="33" spans="2:21" ht="18.75" customHeight="1" x14ac:dyDescent="0.2">
      <c r="B33" s="60"/>
      <c r="C33" s="114">
        <v>2</v>
      </c>
      <c r="D33" s="95">
        <f ca="1">N32</f>
        <v>103629.28</v>
      </c>
      <c r="E33" s="95">
        <f t="shared" ca="1" si="20"/>
        <v>2072.5855999999999</v>
      </c>
      <c r="F33" s="95">
        <f t="shared" ca="1" si="21"/>
        <v>414.51711999999998</v>
      </c>
      <c r="G33" s="95">
        <f t="shared" ca="1" si="22"/>
        <v>1036.2927999999999</v>
      </c>
      <c r="H33" s="95">
        <f t="shared" ca="1" si="23"/>
        <v>207.25855999999999</v>
      </c>
      <c r="I33" s="95">
        <f t="shared" ca="1" si="24"/>
        <v>3108.8784000000001</v>
      </c>
      <c r="J33" s="95"/>
      <c r="K33" s="95">
        <f t="shared" ca="1" si="25"/>
        <v>0</v>
      </c>
      <c r="L33" s="95">
        <f t="shared" ref="L33:L41" ca="1" si="27">SUM(F33,H33,K33)</f>
        <v>621.77567999999997</v>
      </c>
      <c r="M33" s="95">
        <f t="shared" ca="1" si="26"/>
        <v>0</v>
      </c>
      <c r="N33" s="95">
        <f t="shared" ref="N33:N41" ca="1" si="28">(D33+E33+G33+I33)-(F33+H33-K33)-M33</f>
        <v>109225.26112</v>
      </c>
      <c r="O33" s="95">
        <f t="shared" ref="O33:O41" ca="1" si="29">S19-L33</f>
        <v>491.98135124999999</v>
      </c>
      <c r="P33" s="97">
        <f ca="1">P32-O33</f>
        <v>734.18864875000008</v>
      </c>
      <c r="Q33" s="119">
        <v>2</v>
      </c>
      <c r="R33" s="95">
        <f ca="1">SUM(O$32:O33)</f>
        <v>945.81135124999992</v>
      </c>
      <c r="S33" s="95">
        <f t="shared" ref="S33:S41" ca="1" si="30">S$30+R33</f>
        <v>-734.18864875000008</v>
      </c>
      <c r="T33" s="99"/>
      <c r="U33" s="62"/>
    </row>
    <row r="34" spans="2:21" ht="18.75" customHeight="1" x14ac:dyDescent="0.2">
      <c r="B34" s="60"/>
      <c r="C34" s="114">
        <v>3</v>
      </c>
      <c r="D34" s="95">
        <f t="shared" ref="D34:D41" ca="1" si="31">N33</f>
        <v>109225.26112</v>
      </c>
      <c r="E34" s="95">
        <f t="shared" ca="1" si="20"/>
        <v>2184.5052224000001</v>
      </c>
      <c r="F34" s="95">
        <f t="shared" ca="1" si="21"/>
        <v>436.90104448000005</v>
      </c>
      <c r="G34" s="95">
        <f t="shared" ca="1" si="22"/>
        <v>1092.2526112</v>
      </c>
      <c r="H34" s="95">
        <f t="shared" ca="1" si="23"/>
        <v>218.45052224000003</v>
      </c>
      <c r="I34" s="95">
        <f t="shared" ca="1" si="24"/>
        <v>3276.7578335999997</v>
      </c>
      <c r="J34" s="95"/>
      <c r="K34" s="95">
        <f t="shared" ca="1" si="25"/>
        <v>0</v>
      </c>
      <c r="L34" s="95">
        <f t="shared" ca="1" si="27"/>
        <v>655.35156672000005</v>
      </c>
      <c r="M34" s="95">
        <f t="shared" ca="1" si="26"/>
        <v>0</v>
      </c>
      <c r="N34" s="95">
        <f t="shared" ca="1" si="28"/>
        <v>115123.42522048</v>
      </c>
      <c r="O34" s="95">
        <f t="shared" ca="1" si="29"/>
        <v>531.6240683385937</v>
      </c>
      <c r="P34" s="97">
        <f t="shared" ref="P34:P41" ca="1" si="32">P33-O34</f>
        <v>202.56458041140638</v>
      </c>
      <c r="Q34" s="119">
        <v>3</v>
      </c>
      <c r="R34" s="95">
        <f ca="1">SUM(O$32:O34)</f>
        <v>1477.4354195885935</v>
      </c>
      <c r="S34" s="95">
        <f t="shared" ca="1" si="30"/>
        <v>-202.5645804114065</v>
      </c>
      <c r="T34" s="99"/>
      <c r="U34" s="62"/>
    </row>
    <row r="35" spans="2:21" ht="18.75" customHeight="1" x14ac:dyDescent="0.2">
      <c r="B35" s="60"/>
      <c r="C35" s="114">
        <v>4</v>
      </c>
      <c r="D35" s="95">
        <f t="shared" ca="1" si="31"/>
        <v>115123.42522048</v>
      </c>
      <c r="E35" s="95">
        <f t="shared" ca="1" si="20"/>
        <v>2302.4685044096</v>
      </c>
      <c r="F35" s="95">
        <f t="shared" ca="1" si="21"/>
        <v>460.49370088192001</v>
      </c>
      <c r="G35" s="95">
        <f t="shared" ca="1" si="22"/>
        <v>1151.2342522048</v>
      </c>
      <c r="H35" s="95">
        <f t="shared" ca="1" si="23"/>
        <v>230.24685044096</v>
      </c>
      <c r="I35" s="95">
        <f t="shared" ca="1" si="24"/>
        <v>3453.7027566143997</v>
      </c>
      <c r="J35" s="95"/>
      <c r="K35" s="95">
        <f t="shared" ca="1" si="25"/>
        <v>0</v>
      </c>
      <c r="L35" s="95">
        <f t="shared" ca="1" si="27"/>
        <v>690.74055132288004</v>
      </c>
      <c r="M35" s="95">
        <f t="shared" ca="1" si="26"/>
        <v>0</v>
      </c>
      <c r="N35" s="95">
        <f t="shared" ca="1" si="28"/>
        <v>121340.09018238592</v>
      </c>
      <c r="O35" s="95">
        <f t="shared" ca="1" si="29"/>
        <v>565.43759099402678</v>
      </c>
      <c r="P35" s="97">
        <f t="shared" ca="1" si="32"/>
        <v>-362.8730105826204</v>
      </c>
      <c r="Q35" s="119">
        <v>4</v>
      </c>
      <c r="R35" s="95">
        <f ca="1">SUM(O$32:O35)</f>
        <v>2042.8730105826203</v>
      </c>
      <c r="S35" s="95">
        <f t="shared" ca="1" si="30"/>
        <v>362.87301058262028</v>
      </c>
      <c r="T35" s="99"/>
      <c r="U35" s="62"/>
    </row>
    <row r="36" spans="2:21" ht="18.75" customHeight="1" x14ac:dyDescent="0.2">
      <c r="B36" s="60"/>
      <c r="C36" s="114">
        <v>5</v>
      </c>
      <c r="D36" s="95">
        <f t="shared" ca="1" si="31"/>
        <v>121340.09018238592</v>
      </c>
      <c r="E36" s="95">
        <f t="shared" ca="1" si="20"/>
        <v>2426.8018036477183</v>
      </c>
      <c r="F36" s="95">
        <f t="shared" ca="1" si="21"/>
        <v>485.36036072954369</v>
      </c>
      <c r="G36" s="95">
        <f t="shared" ca="1" si="22"/>
        <v>1213.4009018238592</v>
      </c>
      <c r="H36" s="95">
        <f t="shared" ca="1" si="23"/>
        <v>242.68018036477184</v>
      </c>
      <c r="I36" s="95">
        <f t="shared" ca="1" si="24"/>
        <v>3640.2027054715772</v>
      </c>
      <c r="J36" s="95"/>
      <c r="K36" s="95">
        <f t="shared" ca="1" si="25"/>
        <v>0</v>
      </c>
      <c r="L36" s="95">
        <f t="shared" ca="1" si="27"/>
        <v>728.04054109431559</v>
      </c>
      <c r="M36" s="95">
        <f t="shared" ca="1" si="26"/>
        <v>0</v>
      </c>
      <c r="N36" s="95">
        <f t="shared" ca="1" si="28"/>
        <v>127892.45505223474</v>
      </c>
      <c r="O36" s="95">
        <f t="shared" ca="1" si="29"/>
        <v>600.41977350137927</v>
      </c>
      <c r="P36" s="97">
        <f t="shared" ca="1" si="32"/>
        <v>-963.29278408399966</v>
      </c>
      <c r="Q36" s="119">
        <v>5</v>
      </c>
      <c r="R36" s="95">
        <f ca="1">SUM(O$32:O36)</f>
        <v>2643.2927840839993</v>
      </c>
      <c r="S36" s="95">
        <f t="shared" ca="1" si="30"/>
        <v>963.29278408399932</v>
      </c>
      <c r="T36" s="99"/>
      <c r="U36" s="62"/>
    </row>
    <row r="37" spans="2:21" ht="18.75" customHeight="1" x14ac:dyDescent="0.2">
      <c r="B37" s="60"/>
      <c r="C37" s="114">
        <v>6</v>
      </c>
      <c r="D37" s="95">
        <f t="shared" ca="1" si="31"/>
        <v>127892.45505223474</v>
      </c>
      <c r="E37" s="95">
        <f t="shared" ca="1" si="20"/>
        <v>2557.8491010446951</v>
      </c>
      <c r="F37" s="95">
        <f t="shared" ca="1" si="21"/>
        <v>511.56982020893906</v>
      </c>
      <c r="G37" s="95">
        <f t="shared" ca="1" si="22"/>
        <v>1278.9245505223475</v>
      </c>
      <c r="H37" s="95">
        <f t="shared" ca="1" si="23"/>
        <v>255.78491010446953</v>
      </c>
      <c r="I37" s="95">
        <f t="shared" ca="1" si="24"/>
        <v>3836.7736515670422</v>
      </c>
      <c r="J37" s="95"/>
      <c r="K37" s="95">
        <f t="shared" ca="1" si="25"/>
        <v>0</v>
      </c>
      <c r="L37" s="95">
        <f t="shared" ca="1" si="27"/>
        <v>767.3547303134086</v>
      </c>
      <c r="M37" s="95">
        <f t="shared" ca="1" si="26"/>
        <v>0</v>
      </c>
      <c r="N37" s="95">
        <f t="shared" ca="1" si="28"/>
        <v>134798.64762505543</v>
      </c>
      <c r="O37" s="95">
        <f t="shared" ca="1" si="29"/>
        <v>637.17845121436392</v>
      </c>
      <c r="P37" s="97">
        <f t="shared" ca="1" si="32"/>
        <v>-1600.4712352983636</v>
      </c>
      <c r="Q37" s="119">
        <v>6</v>
      </c>
      <c r="R37" s="95">
        <f ca="1">SUM(O$32:O37)</f>
        <v>3280.4712352983634</v>
      </c>
      <c r="S37" s="95">
        <f t="shared" ca="1" si="30"/>
        <v>1600.4712352983634</v>
      </c>
      <c r="T37" s="99"/>
      <c r="U37" s="62"/>
    </row>
    <row r="38" spans="2:21" ht="18.75" customHeight="1" x14ac:dyDescent="0.2">
      <c r="B38" s="60"/>
      <c r="C38" s="114">
        <v>7</v>
      </c>
      <c r="D38" s="95">
        <f t="shared" ca="1" si="31"/>
        <v>134798.64762505543</v>
      </c>
      <c r="E38" s="95">
        <f t="shared" ca="1" si="20"/>
        <v>2695.9729525011085</v>
      </c>
      <c r="F38" s="95">
        <f t="shared" ca="1" si="21"/>
        <v>539.19459050022169</v>
      </c>
      <c r="G38" s="95">
        <f t="shared" ca="1" si="22"/>
        <v>1347.9864762505542</v>
      </c>
      <c r="H38" s="95">
        <f t="shared" ca="1" si="23"/>
        <v>269.59729525011085</v>
      </c>
      <c r="I38" s="95">
        <f t="shared" ca="1" si="24"/>
        <v>4043.9594287516625</v>
      </c>
      <c r="J38" s="95"/>
      <c r="K38" s="95">
        <f t="shared" ca="1" si="25"/>
        <v>0</v>
      </c>
      <c r="L38" s="95">
        <f t="shared" ca="1" si="27"/>
        <v>808.79188575033254</v>
      </c>
      <c r="M38" s="95">
        <f t="shared" ca="1" si="26"/>
        <v>0</v>
      </c>
      <c r="N38" s="95">
        <f t="shared" ca="1" si="28"/>
        <v>142077.77459680842</v>
      </c>
      <c r="O38" s="95">
        <f t="shared" ca="1" si="29"/>
        <v>675.57875548002653</v>
      </c>
      <c r="P38" s="97">
        <f t="shared" ca="1" si="32"/>
        <v>-2276.0499907783901</v>
      </c>
      <c r="Q38" s="119">
        <v>7</v>
      </c>
      <c r="R38" s="95">
        <f ca="1">SUM(O$32:O38)</f>
        <v>3956.0499907783897</v>
      </c>
      <c r="S38" s="95">
        <f t="shared" ca="1" si="30"/>
        <v>2276.0499907783897</v>
      </c>
      <c r="T38" s="99"/>
      <c r="U38" s="62"/>
    </row>
    <row r="39" spans="2:21" ht="18.75" customHeight="1" x14ac:dyDescent="0.2">
      <c r="B39" s="60"/>
      <c r="C39" s="114">
        <v>8</v>
      </c>
      <c r="D39" s="95">
        <f t="shared" ca="1" si="31"/>
        <v>142077.77459680842</v>
      </c>
      <c r="E39" s="95">
        <f t="shared" ca="1" si="20"/>
        <v>2841.5554919361684</v>
      </c>
      <c r="F39" s="95">
        <f t="shared" ca="1" si="21"/>
        <v>568.31109838723376</v>
      </c>
      <c r="G39" s="95">
        <f t="shared" ca="1" si="22"/>
        <v>1420.7777459680842</v>
      </c>
      <c r="H39" s="95">
        <f t="shared" ca="1" si="23"/>
        <v>284.15554919361688</v>
      </c>
      <c r="I39" s="95">
        <f t="shared" ca="1" si="24"/>
        <v>4262.3332379042522</v>
      </c>
      <c r="J39" s="95"/>
      <c r="K39" s="95">
        <f t="shared" ca="1" si="25"/>
        <v>0</v>
      </c>
      <c r="L39" s="95">
        <f t="shared" ca="1" si="27"/>
        <v>852.46664758085058</v>
      </c>
      <c r="M39" s="95">
        <f t="shared" ca="1" si="26"/>
        <v>0</v>
      </c>
      <c r="N39" s="95">
        <f t="shared" ca="1" si="28"/>
        <v>149749.97442503605</v>
      </c>
      <c r="O39" s="95">
        <f t="shared" ca="1" si="29"/>
        <v>715.89074681595093</v>
      </c>
      <c r="P39" s="97">
        <f t="shared" ca="1" si="32"/>
        <v>-2991.940737594341</v>
      </c>
      <c r="Q39" s="119">
        <v>8</v>
      </c>
      <c r="R39" s="95">
        <f ca="1">SUM(O$32:O39)</f>
        <v>4671.940737594341</v>
      </c>
      <c r="S39" s="95">
        <f t="shared" ca="1" si="30"/>
        <v>2991.940737594341</v>
      </c>
      <c r="T39" s="99"/>
      <c r="U39" s="62"/>
    </row>
    <row r="40" spans="2:21" ht="18.75" customHeight="1" x14ac:dyDescent="0.2">
      <c r="B40" s="60"/>
      <c r="C40" s="114">
        <v>9</v>
      </c>
      <c r="D40" s="95">
        <f t="shared" ca="1" si="31"/>
        <v>149749.97442503605</v>
      </c>
      <c r="E40" s="95">
        <f t="shared" ca="1" si="20"/>
        <v>2994.9994885007213</v>
      </c>
      <c r="F40" s="95">
        <f t="shared" ca="1" si="21"/>
        <v>598.99989770014429</v>
      </c>
      <c r="G40" s="95">
        <f t="shared" ca="1" si="22"/>
        <v>1497.4997442503607</v>
      </c>
      <c r="H40" s="95">
        <f t="shared" ca="1" si="23"/>
        <v>299.49994885007214</v>
      </c>
      <c r="I40" s="95">
        <f t="shared" ca="1" si="24"/>
        <v>4492.4992327510818</v>
      </c>
      <c r="J40" s="95"/>
      <c r="K40" s="95">
        <f t="shared" ca="1" si="25"/>
        <v>0</v>
      </c>
      <c r="L40" s="95">
        <f t="shared" ca="1" si="27"/>
        <v>898.49984655021649</v>
      </c>
      <c r="M40" s="95">
        <f t="shared" ca="1" si="26"/>
        <v>0</v>
      </c>
      <c r="N40" s="95">
        <f t="shared" ca="1" si="28"/>
        <v>157836.47304398799</v>
      </c>
      <c r="O40" s="95">
        <f t="shared" ca="1" si="29"/>
        <v>757.6464433145386</v>
      </c>
      <c r="P40" s="97">
        <f t="shared" ca="1" si="32"/>
        <v>-3749.5871809088794</v>
      </c>
      <c r="Q40" s="119">
        <v>9</v>
      </c>
      <c r="R40" s="95">
        <f ca="1">SUM(O$32:O40)</f>
        <v>5429.5871809088794</v>
      </c>
      <c r="S40" s="95">
        <f t="shared" ca="1" si="30"/>
        <v>3749.5871809088794</v>
      </c>
      <c r="T40" s="99"/>
      <c r="U40" s="62"/>
    </row>
    <row r="41" spans="2:21" ht="18.75" customHeight="1" thickBot="1" x14ac:dyDescent="0.25">
      <c r="B41" s="60"/>
      <c r="C41" s="114">
        <v>10</v>
      </c>
      <c r="D41" s="95">
        <f t="shared" ca="1" si="31"/>
        <v>157836.47304398799</v>
      </c>
      <c r="E41" s="95">
        <f t="shared" ca="1" si="20"/>
        <v>3156.7294608797602</v>
      </c>
      <c r="F41" s="115">
        <f t="shared" ca="1" si="21"/>
        <v>631.34589217595203</v>
      </c>
      <c r="G41" s="95">
        <f t="shared" ca="1" si="22"/>
        <v>1578.3647304398801</v>
      </c>
      <c r="H41" s="115">
        <f t="shared" ca="1" si="23"/>
        <v>315.67294608797602</v>
      </c>
      <c r="I41" s="95">
        <f t="shared" ca="1" si="24"/>
        <v>4735.0941913196393</v>
      </c>
      <c r="J41" s="95"/>
      <c r="K41" s="95">
        <f t="shared" ca="1" si="25"/>
        <v>0</v>
      </c>
      <c r="L41" s="115">
        <f t="shared" ca="1" si="27"/>
        <v>947.01883826392805</v>
      </c>
      <c r="M41" s="95">
        <f t="shared" ca="1" si="26"/>
        <v>0</v>
      </c>
      <c r="N41" s="95">
        <f t="shared" ca="1" si="28"/>
        <v>166359.64258836332</v>
      </c>
      <c r="O41" s="95">
        <f t="shared" ca="1" si="29"/>
        <v>801.46266264837277</v>
      </c>
      <c r="P41" s="97">
        <f t="shared" ca="1" si="32"/>
        <v>-4551.0498435572517</v>
      </c>
      <c r="Q41" s="120">
        <v>10</v>
      </c>
      <c r="R41" s="95">
        <f ca="1">SUM(O$32:O41)</f>
        <v>6231.0498435572517</v>
      </c>
      <c r="S41" s="95">
        <f t="shared" ca="1" si="30"/>
        <v>4551.0498435572517</v>
      </c>
      <c r="T41" s="99"/>
      <c r="U41" s="62"/>
    </row>
    <row r="42" spans="2:21" ht="18.75" customHeight="1" thickTop="1" x14ac:dyDescent="0.2">
      <c r="B42" s="60"/>
      <c r="F42" s="92">
        <f ca="1">SUM(F32:F41)</f>
        <v>5039.9735250639551</v>
      </c>
      <c r="H42" s="92">
        <f ca="1">SUM(H32:H41)</f>
        <v>2519.9867625319775</v>
      </c>
      <c r="K42" s="92">
        <f ca="1">SUM(K32:K41)</f>
        <v>0</v>
      </c>
      <c r="L42" s="116">
        <f ca="1">SUM(L32:L41)</f>
        <v>7559.9602875959326</v>
      </c>
      <c r="M42" s="100">
        <f ca="1">SUM(M32:M41)</f>
        <v>0</v>
      </c>
      <c r="O42" s="92">
        <f ca="1">SUM(O32:O41)</f>
        <v>6231.0498435572517</v>
      </c>
      <c r="P42" s="101">
        <f ca="1">COUNTIF(P32:P41,"&gt;"&amp;0)+1</f>
        <v>4</v>
      </c>
      <c r="Q42" s="102"/>
      <c r="R42" s="103"/>
      <c r="S42" s="103"/>
      <c r="T42" s="104"/>
      <c r="U42" s="62"/>
    </row>
    <row r="43" spans="2:21" ht="18.75" hidden="1" customHeight="1" x14ac:dyDescent="0.2">
      <c r="B43" s="60"/>
      <c r="U43" s="62"/>
    </row>
    <row r="44" spans="2:21" ht="18.75" hidden="1" customHeight="1" x14ac:dyDescent="0.25">
      <c r="B44" s="60"/>
      <c r="C44" s="64"/>
      <c r="D44" s="61"/>
      <c r="E44" s="61"/>
      <c r="F44" s="61"/>
      <c r="G44" s="61"/>
      <c r="H44" s="61"/>
      <c r="I44" s="61"/>
      <c r="J44" s="61"/>
      <c r="K44" s="61"/>
      <c r="L44" s="61"/>
      <c r="U44" s="62"/>
    </row>
    <row r="45" spans="2:21" ht="18.75" hidden="1" customHeight="1" x14ac:dyDescent="0.25">
      <c r="B45" s="60"/>
      <c r="C45" s="64"/>
      <c r="D45" s="64"/>
      <c r="E45" s="64"/>
      <c r="F45" s="64"/>
      <c r="G45" s="64"/>
      <c r="H45" s="64"/>
      <c r="I45" s="64"/>
      <c r="J45" s="64"/>
      <c r="K45" s="64"/>
      <c r="L45" s="64"/>
      <c r="M45" s="64"/>
      <c r="N45" s="64"/>
      <c r="O45" s="81"/>
      <c r="P45" s="81"/>
      <c r="Q45" s="81"/>
      <c r="R45" s="81"/>
      <c r="S45" s="81"/>
      <c r="U45" s="62"/>
    </row>
    <row r="46" spans="2:21" ht="18.75" hidden="1" customHeight="1" x14ac:dyDescent="0.2">
      <c r="B46" s="90">
        <f>E9</f>
        <v>100000</v>
      </c>
      <c r="C46" s="105"/>
      <c r="D46" s="106"/>
      <c r="E46" s="106"/>
      <c r="F46" s="106"/>
      <c r="G46" s="106"/>
      <c r="H46" s="106"/>
      <c r="I46" s="106"/>
      <c r="J46" s="106"/>
      <c r="K46" s="106"/>
      <c r="L46" s="106"/>
      <c r="M46" s="106"/>
      <c r="N46" s="106"/>
      <c r="O46" s="106"/>
      <c r="P46" s="106"/>
      <c r="Q46" s="106"/>
      <c r="R46" s="106"/>
      <c r="S46" s="106"/>
      <c r="U46" s="62"/>
    </row>
    <row r="47" spans="2:21" ht="18.75" hidden="1" customHeight="1" x14ac:dyDescent="0.2">
      <c r="B47" s="60"/>
      <c r="C47" s="105"/>
      <c r="D47" s="106"/>
      <c r="E47" s="106"/>
      <c r="F47" s="106"/>
      <c r="G47" s="106"/>
      <c r="H47" s="106"/>
      <c r="I47" s="106"/>
      <c r="J47" s="106"/>
      <c r="K47" s="106"/>
      <c r="L47" s="106"/>
      <c r="M47" s="106"/>
      <c r="N47" s="106"/>
      <c r="O47" s="106"/>
      <c r="P47" s="106"/>
      <c r="Q47" s="106"/>
      <c r="R47" s="106"/>
      <c r="S47" s="106"/>
      <c r="U47" s="62"/>
    </row>
    <row r="48" spans="2:21" ht="18.75" hidden="1" customHeight="1" x14ac:dyDescent="0.2">
      <c r="B48" s="60"/>
      <c r="C48" s="105"/>
      <c r="D48" s="106"/>
      <c r="E48" s="106"/>
      <c r="F48" s="106"/>
      <c r="G48" s="106"/>
      <c r="H48" s="106"/>
      <c r="I48" s="106"/>
      <c r="J48" s="106"/>
      <c r="K48" s="106"/>
      <c r="L48" s="106"/>
      <c r="M48" s="106"/>
      <c r="N48" s="106"/>
      <c r="O48" s="106"/>
      <c r="P48" s="106"/>
      <c r="Q48" s="106"/>
      <c r="R48" s="106"/>
      <c r="S48" s="106"/>
      <c r="U48" s="62"/>
    </row>
    <row r="49" spans="2:22" ht="18.75" hidden="1" customHeight="1" x14ac:dyDescent="0.2">
      <c r="B49" s="60"/>
      <c r="C49" s="105"/>
      <c r="D49" s="106"/>
      <c r="E49" s="106"/>
      <c r="F49" s="106"/>
      <c r="G49" s="106"/>
      <c r="H49" s="106"/>
      <c r="I49" s="106"/>
      <c r="J49" s="106"/>
      <c r="K49" s="106"/>
      <c r="L49" s="106"/>
      <c r="M49" s="106"/>
      <c r="N49" s="106"/>
      <c r="O49" s="106"/>
      <c r="P49" s="106"/>
      <c r="Q49" s="106"/>
      <c r="R49" s="106"/>
      <c r="S49" s="106"/>
      <c r="U49" s="62"/>
    </row>
    <row r="50" spans="2:22" ht="18.75" hidden="1" customHeight="1" x14ac:dyDescent="0.2">
      <c r="B50" s="60"/>
      <c r="C50" s="105"/>
      <c r="D50" s="106"/>
      <c r="E50" s="106"/>
      <c r="F50" s="106"/>
      <c r="G50" s="106"/>
      <c r="H50" s="106"/>
      <c r="I50" s="106"/>
      <c r="J50" s="106"/>
      <c r="K50" s="106"/>
      <c r="L50" s="106"/>
      <c r="M50" s="106"/>
      <c r="N50" s="106"/>
      <c r="O50" s="106"/>
      <c r="P50" s="106"/>
      <c r="Q50" s="106"/>
      <c r="R50" s="106"/>
      <c r="S50" s="106"/>
      <c r="U50" s="62"/>
    </row>
    <row r="51" spans="2:22" ht="18.75" hidden="1" customHeight="1" x14ac:dyDescent="0.2">
      <c r="B51" s="60"/>
      <c r="C51" s="105"/>
      <c r="D51" s="106"/>
      <c r="E51" s="106"/>
      <c r="F51" s="106"/>
      <c r="G51" s="106"/>
      <c r="H51" s="106"/>
      <c r="I51" s="106"/>
      <c r="J51" s="106"/>
      <c r="K51" s="106"/>
      <c r="L51" s="106"/>
      <c r="U51" s="62"/>
    </row>
    <row r="52" spans="2:22" ht="18.75" hidden="1" customHeight="1" x14ac:dyDescent="0.2">
      <c r="B52" s="60"/>
      <c r="C52" s="105"/>
      <c r="D52" s="106"/>
      <c r="E52" s="106"/>
      <c r="F52" s="106"/>
      <c r="G52" s="106"/>
      <c r="H52" s="106"/>
      <c r="I52" s="106"/>
      <c r="J52" s="106"/>
      <c r="K52" s="106"/>
      <c r="L52" s="106"/>
      <c r="U52" s="62"/>
    </row>
    <row r="53" spans="2:22" ht="18.75" hidden="1" customHeight="1" x14ac:dyDescent="0.2">
      <c r="B53" s="60"/>
      <c r="C53" s="105"/>
      <c r="D53" s="106"/>
      <c r="E53" s="106"/>
      <c r="F53" s="106"/>
      <c r="G53" s="106"/>
      <c r="H53" s="106"/>
      <c r="I53" s="106"/>
      <c r="J53" s="106"/>
      <c r="K53" s="106"/>
      <c r="L53" s="106"/>
      <c r="U53" s="62"/>
    </row>
    <row r="54" spans="2:22" ht="18.75" hidden="1" customHeight="1" x14ac:dyDescent="0.2">
      <c r="B54" s="60"/>
      <c r="C54" s="105"/>
      <c r="D54" s="106"/>
      <c r="E54" s="106"/>
      <c r="F54" s="106"/>
      <c r="G54" s="106"/>
      <c r="H54" s="106"/>
      <c r="I54" s="106"/>
      <c r="J54" s="106"/>
      <c r="K54" s="106"/>
      <c r="L54" s="106"/>
      <c r="U54" s="62"/>
    </row>
    <row r="55" spans="2:22" ht="18.75" hidden="1" customHeight="1" x14ac:dyDescent="0.2">
      <c r="B55" s="60"/>
      <c r="C55" s="105"/>
      <c r="D55" s="106"/>
      <c r="E55" s="106"/>
      <c r="F55" s="106"/>
      <c r="G55" s="106"/>
      <c r="H55" s="106"/>
      <c r="I55" s="106"/>
      <c r="J55" s="106"/>
      <c r="K55" s="106"/>
      <c r="L55" s="106"/>
      <c r="U55" s="62"/>
    </row>
    <row r="56" spans="2:22" ht="18.75" customHeight="1" x14ac:dyDescent="0.2">
      <c r="B56" s="60"/>
      <c r="U56" s="62"/>
    </row>
    <row r="57" spans="2:22" ht="18.75" customHeight="1" thickBot="1" x14ac:dyDescent="0.3">
      <c r="B57" s="107"/>
      <c r="C57" s="108"/>
      <c r="D57" s="108"/>
      <c r="E57" s="108"/>
      <c r="F57" s="108"/>
      <c r="G57" s="108"/>
      <c r="H57" s="108"/>
      <c r="I57" s="144" t="s">
        <v>110</v>
      </c>
      <c r="J57" s="144"/>
      <c r="K57" s="144"/>
      <c r="L57" s="144"/>
      <c r="M57" s="144"/>
      <c r="N57" s="108"/>
      <c r="O57" s="108"/>
      <c r="P57" s="108"/>
      <c r="Q57" s="108"/>
      <c r="R57" s="108"/>
      <c r="S57" s="108"/>
      <c r="T57" s="108"/>
      <c r="U57" s="109"/>
      <c r="V57" s="60"/>
    </row>
    <row r="58" spans="2:22" ht="15" thickTop="1" x14ac:dyDescent="0.2"/>
    <row r="59" spans="2:22" x14ac:dyDescent="0.2"/>
    <row r="60" spans="2:22" ht="15" customHeight="1" x14ac:dyDescent="0.2">
      <c r="C60" s="131" t="s">
        <v>51</v>
      </c>
      <c r="D60" s="131"/>
      <c r="E60" s="131"/>
      <c r="F60" s="131"/>
      <c r="G60" s="131"/>
      <c r="H60" s="131"/>
      <c r="I60" s="131"/>
      <c r="J60" s="131"/>
      <c r="K60" s="131"/>
      <c r="L60" s="131"/>
      <c r="M60" s="131"/>
      <c r="N60" s="131"/>
      <c r="O60" s="131"/>
      <c r="P60" s="131"/>
      <c r="Q60" s="131"/>
      <c r="R60" s="131"/>
      <c r="S60" s="131"/>
      <c r="T60" s="131"/>
    </row>
    <row r="61" spans="2:22" x14ac:dyDescent="0.2">
      <c r="C61" s="131"/>
      <c r="D61" s="131"/>
      <c r="E61" s="131"/>
      <c r="F61" s="131"/>
      <c r="G61" s="131"/>
      <c r="H61" s="131"/>
      <c r="I61" s="131"/>
      <c r="J61" s="131"/>
      <c r="K61" s="131"/>
      <c r="L61" s="131"/>
      <c r="M61" s="131"/>
      <c r="N61" s="131"/>
      <c r="O61" s="131"/>
      <c r="P61" s="131"/>
      <c r="Q61" s="131"/>
      <c r="R61" s="131"/>
      <c r="S61" s="131"/>
      <c r="T61" s="131"/>
    </row>
    <row r="62" spans="2:22" ht="15" customHeight="1" x14ac:dyDescent="0.2">
      <c r="C62" s="131" t="s">
        <v>126</v>
      </c>
      <c r="D62" s="131"/>
      <c r="E62" s="131"/>
      <c r="F62" s="131"/>
      <c r="G62" s="131"/>
      <c r="H62" s="131"/>
      <c r="I62" s="131"/>
      <c r="J62" s="131"/>
      <c r="K62" s="131"/>
      <c r="L62" s="131"/>
      <c r="M62" s="131"/>
      <c r="N62" s="131"/>
      <c r="O62" s="131"/>
      <c r="P62" s="131"/>
      <c r="Q62" s="131"/>
      <c r="R62" s="131"/>
      <c r="S62" s="131"/>
      <c r="T62" s="131"/>
    </row>
    <row r="63" spans="2:22" x14ac:dyDescent="0.2">
      <c r="C63" s="131"/>
      <c r="D63" s="131"/>
      <c r="E63" s="131"/>
      <c r="F63" s="131"/>
      <c r="G63" s="131"/>
      <c r="H63" s="131"/>
      <c r="I63" s="131"/>
      <c r="J63" s="131"/>
      <c r="K63" s="131"/>
      <c r="L63" s="131"/>
      <c r="M63" s="131"/>
      <c r="N63" s="131"/>
      <c r="O63" s="131"/>
      <c r="P63" s="131"/>
      <c r="Q63" s="131"/>
      <c r="R63" s="131"/>
      <c r="S63" s="131"/>
      <c r="T63" s="131"/>
    </row>
    <row r="64" spans="2:22" ht="15" customHeight="1" x14ac:dyDescent="0.2">
      <c r="C64" s="131" t="s">
        <v>128</v>
      </c>
      <c r="D64" s="131"/>
      <c r="E64" s="131"/>
      <c r="F64" s="131"/>
      <c r="G64" s="131"/>
      <c r="H64" s="131"/>
      <c r="I64" s="131"/>
      <c r="J64" s="131"/>
      <c r="K64" s="131"/>
      <c r="L64" s="131"/>
      <c r="M64" s="131"/>
      <c r="N64" s="131"/>
      <c r="O64" s="131"/>
      <c r="P64" s="131"/>
      <c r="Q64" s="131"/>
      <c r="R64" s="131"/>
      <c r="S64" s="131"/>
      <c r="T64" s="131"/>
    </row>
    <row r="65" spans="3:20" ht="15" customHeight="1" x14ac:dyDescent="0.2">
      <c r="C65" s="131" t="s">
        <v>52</v>
      </c>
      <c r="D65" s="131"/>
      <c r="E65" s="131"/>
      <c r="F65" s="131"/>
      <c r="G65" s="131"/>
      <c r="H65" s="131"/>
      <c r="I65" s="131"/>
      <c r="J65" s="131"/>
      <c r="K65" s="131"/>
      <c r="L65" s="131"/>
      <c r="M65" s="131"/>
      <c r="N65" s="131"/>
      <c r="O65" s="131"/>
      <c r="P65" s="131"/>
      <c r="Q65" s="131"/>
      <c r="R65" s="131"/>
      <c r="S65" s="131"/>
      <c r="T65" s="131"/>
    </row>
    <row r="66" spans="3:20" ht="15" customHeight="1" x14ac:dyDescent="0.2">
      <c r="C66" s="131" t="s">
        <v>53</v>
      </c>
      <c r="D66" s="131"/>
      <c r="E66" s="131"/>
      <c r="F66" s="131"/>
      <c r="G66" s="131"/>
      <c r="H66" s="131"/>
      <c r="I66" s="131"/>
      <c r="J66" s="131"/>
      <c r="K66" s="131"/>
      <c r="L66" s="131"/>
      <c r="M66" s="131"/>
      <c r="N66" s="131"/>
      <c r="O66" s="131"/>
      <c r="P66" s="131"/>
      <c r="Q66" s="131"/>
      <c r="R66" s="131"/>
      <c r="S66" s="131"/>
      <c r="T66" s="131"/>
    </row>
    <row r="67" spans="3:20" x14ac:dyDescent="0.2">
      <c r="C67" s="131"/>
      <c r="D67" s="131"/>
      <c r="E67" s="131"/>
      <c r="F67" s="131"/>
      <c r="G67" s="131"/>
      <c r="H67" s="131"/>
      <c r="I67" s="131"/>
      <c r="J67" s="131"/>
      <c r="K67" s="131"/>
      <c r="L67" s="131"/>
      <c r="M67" s="131"/>
      <c r="N67" s="131"/>
      <c r="O67" s="131"/>
      <c r="P67" s="131"/>
      <c r="Q67" s="131"/>
      <c r="R67" s="131"/>
      <c r="S67" s="131"/>
      <c r="T67" s="131"/>
    </row>
    <row r="68" spans="3:20" ht="15" customHeight="1" x14ac:dyDescent="0.2">
      <c r="C68" s="140" t="s">
        <v>54</v>
      </c>
      <c r="D68" s="140"/>
      <c r="E68" s="140"/>
      <c r="F68" s="140"/>
      <c r="G68" s="140"/>
      <c r="H68" s="140"/>
      <c r="I68" s="140"/>
      <c r="J68" s="140"/>
      <c r="K68" s="140"/>
      <c r="L68" s="140"/>
      <c r="M68" s="140"/>
      <c r="N68" s="140"/>
      <c r="O68" s="140"/>
      <c r="P68" s="140"/>
      <c r="Q68" s="140"/>
      <c r="R68" s="140"/>
      <c r="S68" s="140"/>
      <c r="T68" s="140"/>
    </row>
    <row r="69" spans="3:20" ht="15" customHeight="1" x14ac:dyDescent="0.2">
      <c r="C69" s="140" t="s">
        <v>127</v>
      </c>
      <c r="D69" s="140"/>
      <c r="E69" s="140"/>
      <c r="F69" s="140"/>
      <c r="G69" s="140"/>
      <c r="H69" s="140"/>
      <c r="I69" s="140"/>
      <c r="J69" s="140"/>
      <c r="K69" s="140"/>
      <c r="L69" s="140"/>
      <c r="M69" s="140"/>
      <c r="N69" s="140"/>
      <c r="O69" s="140"/>
      <c r="P69" s="140"/>
      <c r="Q69" s="140"/>
      <c r="R69" s="140"/>
      <c r="S69" s="140"/>
      <c r="T69" s="140"/>
    </row>
    <row r="70" spans="3:20" ht="15" customHeight="1" x14ac:dyDescent="0.2">
      <c r="C70" s="143" t="s">
        <v>115</v>
      </c>
      <c r="D70" s="143"/>
      <c r="E70" s="143"/>
      <c r="F70" s="143"/>
      <c r="G70" s="143"/>
      <c r="H70" s="143"/>
      <c r="I70" s="143"/>
      <c r="J70" s="143"/>
      <c r="K70" s="143"/>
      <c r="L70" s="143"/>
      <c r="M70" s="143"/>
      <c r="N70" s="143"/>
      <c r="O70" s="143"/>
      <c r="P70" s="143"/>
      <c r="Q70" s="143"/>
      <c r="R70" s="143"/>
      <c r="S70" s="143"/>
      <c r="T70" s="143"/>
    </row>
    <row r="71" spans="3:20" x14ac:dyDescent="0.2">
      <c r="C71" s="143"/>
      <c r="D71" s="143"/>
      <c r="E71" s="143"/>
      <c r="F71" s="143"/>
      <c r="G71" s="143"/>
      <c r="H71" s="143"/>
      <c r="I71" s="143"/>
      <c r="J71" s="143"/>
      <c r="K71" s="143"/>
      <c r="L71" s="143"/>
      <c r="M71" s="143"/>
      <c r="N71" s="143"/>
      <c r="O71" s="143"/>
      <c r="P71" s="143"/>
      <c r="Q71" s="143"/>
      <c r="R71" s="143"/>
      <c r="S71" s="143"/>
      <c r="T71" s="143"/>
    </row>
  </sheetData>
  <sheetProtection algorithmName="SHA-512" hashValue="4gWa2xHFGX8Hem4EgDWY0lEV8FmnXya03r4DnWhwZMs0fIKp2FTGyrKA6f7804lc+8+7dwBInZ0CqRPaD2nKtg==" saltValue="i8/Q+IBph5OuovZe/suPrg==" spinCount="100000" sheet="1" selectLockedCells="1" selectUnlockedCells="1"/>
  <mergeCells count="14">
    <mergeCell ref="E5:K5"/>
    <mergeCell ref="I57:M57"/>
    <mergeCell ref="C7:E7"/>
    <mergeCell ref="F7:H7"/>
    <mergeCell ref="I7:L7"/>
    <mergeCell ref="O7:Q7"/>
    <mergeCell ref="C70:T71"/>
    <mergeCell ref="C68:T68"/>
    <mergeCell ref="C69:T69"/>
    <mergeCell ref="C60:T61"/>
    <mergeCell ref="C62:T63"/>
    <mergeCell ref="C64:T64"/>
    <mergeCell ref="C65:T65"/>
    <mergeCell ref="C66:T67"/>
  </mergeCells>
  <conditionalFormatting sqref="Q11">
    <cfRule type="cellIs" dxfId="4" priority="5" operator="lessThan">
      <formula>0</formula>
    </cfRule>
  </conditionalFormatting>
  <conditionalFormatting sqref="O32:O42">
    <cfRule type="cellIs" dxfId="3" priority="1" operator="greaterThan">
      <formula>0</formula>
    </cfRule>
    <cfRule type="cellIs" dxfId="2" priority="4" operator="lessThan">
      <formula>0</formula>
    </cfRule>
  </conditionalFormatting>
  <conditionalFormatting sqref="T33:T42">
    <cfRule type="cellIs" dxfId="1" priority="3" operator="lessThan">
      <formula>0</formula>
    </cfRule>
  </conditionalFormatting>
  <conditionalFormatting sqref="S32:S42">
    <cfRule type="cellIs" dxfId="0" priority="2" operator="greaterThan">
      <formula>0</formula>
    </cfRule>
  </conditionalFormatting>
  <dataValidations count="3">
    <dataValidation type="list" allowBlank="1" showInputMessage="1" showErrorMessage="1" sqref="H9:H11" xr:uid="{94F8D632-18BC-45B0-BBDA-61EB44EF9968}">
      <formula1>Allowance_used</formula1>
    </dataValidation>
    <dataValidation type="decimal" allowBlank="1" showInputMessage="1" showErrorMessage="1" errorTitle="Return entered is too high" error="Maximum supported by this tool is 8%" sqref="L9:L12" xr:uid="{6256ECCB-A207-4FBD-8703-81117661FD3B}">
      <formula1>0</formula1>
      <formula2>max_return</formula2>
    </dataValidation>
    <dataValidation type="decimal" allowBlank="1" showInputMessage="1" showErrorMessage="1" sqref="E9:E12" xr:uid="{7B0B2E95-2B38-4E36-9686-15FA37F406B5}">
      <formula1>0</formula1>
      <formula2>100000000</formula2>
    </dataValidation>
  </dataValidations>
  <pageMargins left="0.7" right="0.7" top="0.75" bottom="0.75" header="0.3" footer="0.3"/>
  <pageSetup paperSize="9" scale="39" orientation="landscape" r:id="rId1"/>
  <ignoredErrors>
    <ignoredError sqref="G32 G33:G4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BD3CD-8A4A-48EA-82C0-892B1B7A3F19}">
  <dimension ref="A1:S100"/>
  <sheetViews>
    <sheetView workbookViewId="0">
      <selection activeCell="B8" sqref="B8"/>
    </sheetView>
  </sheetViews>
  <sheetFormatPr defaultRowHeight="15" x14ac:dyDescent="0.25"/>
  <cols>
    <col min="5" max="5" width="17.5703125" bestFit="1" customWidth="1"/>
    <col min="6" max="6" width="12.5703125" bestFit="1" customWidth="1"/>
    <col min="10" max="10" width="10.42578125" bestFit="1" customWidth="1"/>
  </cols>
  <sheetData>
    <row r="1" spans="1:19" x14ac:dyDescent="0.25">
      <c r="B1" t="s">
        <v>1</v>
      </c>
      <c r="C1" t="s">
        <v>8</v>
      </c>
      <c r="D1" t="s">
        <v>9</v>
      </c>
      <c r="G1" t="s">
        <v>31</v>
      </c>
      <c r="H1" t="s">
        <v>82</v>
      </c>
      <c r="I1" t="s">
        <v>81</v>
      </c>
      <c r="J1" t="s">
        <v>14</v>
      </c>
      <c r="N1" t="s">
        <v>5</v>
      </c>
      <c r="P1" t="s">
        <v>34</v>
      </c>
      <c r="R1" t="s">
        <v>39</v>
      </c>
      <c r="S1" t="s">
        <v>83</v>
      </c>
    </row>
    <row r="2" spans="1:19" x14ac:dyDescent="0.25">
      <c r="A2">
        <v>2022</v>
      </c>
      <c r="B2">
        <v>12300</v>
      </c>
      <c r="C2">
        <v>2000</v>
      </c>
      <c r="D2">
        <v>1000</v>
      </c>
      <c r="G2" s="1">
        <v>0</v>
      </c>
      <c r="H2" s="1">
        <v>0</v>
      </c>
      <c r="I2" s="1">
        <v>0.18</v>
      </c>
      <c r="J2" s="1">
        <v>0</v>
      </c>
      <c r="L2" s="1"/>
      <c r="N2" s="1">
        <v>0</v>
      </c>
      <c r="P2">
        <v>1</v>
      </c>
      <c r="R2" s="1">
        <v>0.2</v>
      </c>
      <c r="S2" s="1">
        <v>0</v>
      </c>
    </row>
    <row r="3" spans="1:19" x14ac:dyDescent="0.25">
      <c r="A3">
        <v>2023</v>
      </c>
      <c r="B3">
        <v>12300</v>
      </c>
      <c r="C3">
        <v>2000</v>
      </c>
      <c r="D3">
        <v>1000</v>
      </c>
      <c r="G3" s="1">
        <v>0.2</v>
      </c>
      <c r="H3" s="2">
        <v>8.7499999999999994E-2</v>
      </c>
      <c r="I3" s="1">
        <v>0.18</v>
      </c>
      <c r="J3" s="1">
        <v>0.1</v>
      </c>
      <c r="N3" s="2">
        <v>2.5000000000000001E-3</v>
      </c>
      <c r="P3">
        <v>2</v>
      </c>
    </row>
    <row r="4" spans="1:19" x14ac:dyDescent="0.25">
      <c r="A4">
        <v>2024</v>
      </c>
      <c r="B4">
        <v>6000</v>
      </c>
      <c r="C4">
        <v>1000</v>
      </c>
      <c r="D4">
        <v>1000</v>
      </c>
      <c r="F4" s="5"/>
      <c r="G4" s="1">
        <v>0.4</v>
      </c>
      <c r="H4" s="2">
        <v>0.33750000000000002</v>
      </c>
      <c r="I4" s="1">
        <v>0.24</v>
      </c>
      <c r="J4" s="1">
        <v>0.2</v>
      </c>
      <c r="N4" s="2">
        <v>5.0000000000000001E-3</v>
      </c>
      <c r="P4">
        <v>3</v>
      </c>
    </row>
    <row r="5" spans="1:19" x14ac:dyDescent="0.25">
      <c r="A5">
        <v>2025</v>
      </c>
      <c r="B5">
        <v>3000</v>
      </c>
      <c r="C5">
        <v>500</v>
      </c>
      <c r="D5">
        <v>1000</v>
      </c>
      <c r="G5" s="1">
        <v>0.45</v>
      </c>
      <c r="H5" s="2">
        <v>0.39350000000000002</v>
      </c>
      <c r="I5" s="1">
        <v>0.24</v>
      </c>
      <c r="J5" s="1">
        <v>0.3</v>
      </c>
      <c r="N5" s="2">
        <v>7.4999999999999997E-3</v>
      </c>
      <c r="P5">
        <v>4</v>
      </c>
    </row>
    <row r="6" spans="1:19" x14ac:dyDescent="0.25">
      <c r="A6">
        <v>2026</v>
      </c>
      <c r="B6">
        <v>3000</v>
      </c>
      <c r="C6">
        <v>500</v>
      </c>
      <c r="D6">
        <v>1000</v>
      </c>
      <c r="J6" s="1">
        <v>0.4</v>
      </c>
      <c r="N6" s="2">
        <v>0.01</v>
      </c>
      <c r="P6">
        <v>5</v>
      </c>
    </row>
    <row r="7" spans="1:19" x14ac:dyDescent="0.25">
      <c r="A7">
        <v>2027</v>
      </c>
      <c r="B7">
        <v>3000</v>
      </c>
      <c r="C7">
        <v>500</v>
      </c>
      <c r="D7">
        <v>1000</v>
      </c>
      <c r="J7" s="1">
        <v>0.5</v>
      </c>
      <c r="N7" s="2">
        <v>1.2500000000000001E-2</v>
      </c>
      <c r="P7">
        <v>6</v>
      </c>
    </row>
    <row r="8" spans="1:19" x14ac:dyDescent="0.25">
      <c r="A8">
        <v>2028</v>
      </c>
      <c r="B8">
        <v>3000</v>
      </c>
      <c r="C8">
        <v>500</v>
      </c>
      <c r="D8">
        <v>1000</v>
      </c>
      <c r="G8" s="1"/>
      <c r="J8" s="1">
        <v>0.6</v>
      </c>
      <c r="N8" s="2">
        <v>1.4999999999999999E-2</v>
      </c>
      <c r="P8">
        <v>7</v>
      </c>
    </row>
    <row r="9" spans="1:19" x14ac:dyDescent="0.25">
      <c r="A9">
        <v>2029</v>
      </c>
      <c r="B9">
        <f>ROUNDUP(B8*1.02,0)</f>
        <v>3060</v>
      </c>
      <c r="C9">
        <f t="shared" ref="C9:D24" si="0">ROUNDUP(C8*1.02,0)</f>
        <v>510</v>
      </c>
      <c r="D9">
        <f t="shared" si="0"/>
        <v>1020</v>
      </c>
      <c r="E9" t="s">
        <v>15</v>
      </c>
      <c r="G9" s="1"/>
      <c r="J9" s="1">
        <v>0.7</v>
      </c>
      <c r="N9" s="2">
        <v>1.7500000000000002E-2</v>
      </c>
      <c r="P9">
        <v>8</v>
      </c>
    </row>
    <row r="10" spans="1:19" x14ac:dyDescent="0.25">
      <c r="A10">
        <v>2030</v>
      </c>
      <c r="B10">
        <f t="shared" ref="B10:D25" si="1">ROUNDUP(B9*1.02,0)</f>
        <v>3122</v>
      </c>
      <c r="C10">
        <f t="shared" si="0"/>
        <v>521</v>
      </c>
      <c r="D10">
        <f t="shared" si="0"/>
        <v>1041</v>
      </c>
      <c r="E10" t="s">
        <v>2</v>
      </c>
      <c r="G10" s="1"/>
      <c r="J10" s="1">
        <v>0.8</v>
      </c>
      <c r="N10" s="2">
        <v>0.02</v>
      </c>
      <c r="P10">
        <v>9</v>
      </c>
    </row>
    <row r="11" spans="1:19" x14ac:dyDescent="0.25">
      <c r="A11">
        <v>2031</v>
      </c>
      <c r="B11">
        <f t="shared" si="1"/>
        <v>3185</v>
      </c>
      <c r="C11">
        <f t="shared" si="0"/>
        <v>532</v>
      </c>
      <c r="D11">
        <f t="shared" si="0"/>
        <v>1062</v>
      </c>
      <c r="E11" t="s">
        <v>3</v>
      </c>
      <c r="J11" s="1">
        <v>0.9</v>
      </c>
      <c r="N11" s="2">
        <v>2.2499999999999999E-2</v>
      </c>
      <c r="P11">
        <v>10</v>
      </c>
    </row>
    <row r="12" spans="1:19" x14ac:dyDescent="0.25">
      <c r="A12">
        <v>2032</v>
      </c>
      <c r="B12">
        <f t="shared" si="1"/>
        <v>3249</v>
      </c>
      <c r="C12">
        <f t="shared" si="0"/>
        <v>543</v>
      </c>
      <c r="D12">
        <f t="shared" si="0"/>
        <v>1084</v>
      </c>
      <c r="J12" s="1">
        <v>1</v>
      </c>
      <c r="N12" s="2">
        <v>2.5000000000000001E-2</v>
      </c>
    </row>
    <row r="13" spans="1:19" x14ac:dyDescent="0.25">
      <c r="A13">
        <v>2033</v>
      </c>
      <c r="B13">
        <f t="shared" si="1"/>
        <v>3314</v>
      </c>
      <c r="C13">
        <f t="shared" si="0"/>
        <v>554</v>
      </c>
      <c r="D13">
        <f t="shared" si="0"/>
        <v>1106</v>
      </c>
      <c r="N13" s="2">
        <v>2.75E-2</v>
      </c>
    </row>
    <row r="14" spans="1:19" x14ac:dyDescent="0.25">
      <c r="A14">
        <v>2034</v>
      </c>
      <c r="B14">
        <f t="shared" si="1"/>
        <v>3381</v>
      </c>
      <c r="C14">
        <f t="shared" si="0"/>
        <v>566</v>
      </c>
      <c r="D14">
        <f t="shared" si="0"/>
        <v>1129</v>
      </c>
      <c r="N14" s="2">
        <v>0.03</v>
      </c>
    </row>
    <row r="15" spans="1:19" x14ac:dyDescent="0.25">
      <c r="A15">
        <v>2035</v>
      </c>
      <c r="B15">
        <f t="shared" si="1"/>
        <v>3449</v>
      </c>
      <c r="C15">
        <f t="shared" si="0"/>
        <v>578</v>
      </c>
      <c r="D15">
        <f t="shared" si="0"/>
        <v>1152</v>
      </c>
      <c r="N15" s="2">
        <v>3.2500000000000001E-2</v>
      </c>
    </row>
    <row r="16" spans="1:19" x14ac:dyDescent="0.25">
      <c r="A16">
        <v>2036</v>
      </c>
      <c r="B16">
        <f t="shared" si="1"/>
        <v>3518</v>
      </c>
      <c r="C16">
        <f t="shared" si="0"/>
        <v>590</v>
      </c>
      <c r="D16">
        <f t="shared" si="0"/>
        <v>1176</v>
      </c>
      <c r="N16" s="2">
        <v>3.5000000000000003E-2</v>
      </c>
    </row>
    <row r="17" spans="1:14" x14ac:dyDescent="0.25">
      <c r="A17">
        <v>2037</v>
      </c>
      <c r="B17">
        <f t="shared" si="1"/>
        <v>3589</v>
      </c>
      <c r="C17">
        <f t="shared" si="0"/>
        <v>602</v>
      </c>
      <c r="D17">
        <f t="shared" si="0"/>
        <v>1200</v>
      </c>
      <c r="N17" s="2">
        <v>3.7499999999999999E-2</v>
      </c>
    </row>
    <row r="18" spans="1:14" x14ac:dyDescent="0.25">
      <c r="A18">
        <v>2038</v>
      </c>
      <c r="B18">
        <f t="shared" si="1"/>
        <v>3661</v>
      </c>
      <c r="C18">
        <f t="shared" si="0"/>
        <v>615</v>
      </c>
      <c r="D18">
        <f t="shared" si="0"/>
        <v>1224</v>
      </c>
      <c r="N18" s="2">
        <v>0.04</v>
      </c>
    </row>
    <row r="19" spans="1:14" x14ac:dyDescent="0.25">
      <c r="A19">
        <v>2039</v>
      </c>
      <c r="B19">
        <f t="shared" si="1"/>
        <v>3735</v>
      </c>
      <c r="C19">
        <f t="shared" si="0"/>
        <v>628</v>
      </c>
      <c r="D19">
        <f t="shared" si="0"/>
        <v>1249</v>
      </c>
      <c r="N19" s="2">
        <v>4.2500000000000003E-2</v>
      </c>
    </row>
    <row r="20" spans="1:14" x14ac:dyDescent="0.25">
      <c r="A20">
        <v>2040</v>
      </c>
      <c r="B20">
        <f t="shared" si="1"/>
        <v>3810</v>
      </c>
      <c r="C20">
        <f t="shared" si="0"/>
        <v>641</v>
      </c>
      <c r="D20">
        <f t="shared" si="0"/>
        <v>1274</v>
      </c>
      <c r="N20" s="2">
        <v>4.4999999999999998E-2</v>
      </c>
    </row>
    <row r="21" spans="1:14" x14ac:dyDescent="0.25">
      <c r="A21">
        <v>2041</v>
      </c>
      <c r="B21">
        <f t="shared" si="1"/>
        <v>3887</v>
      </c>
      <c r="C21">
        <f t="shared" si="0"/>
        <v>654</v>
      </c>
      <c r="D21">
        <f t="shared" si="0"/>
        <v>1300</v>
      </c>
      <c r="N21" s="2">
        <v>4.7500000000000001E-2</v>
      </c>
    </row>
    <row r="22" spans="1:14" x14ac:dyDescent="0.25">
      <c r="A22">
        <v>2042</v>
      </c>
      <c r="B22">
        <f t="shared" si="1"/>
        <v>3965</v>
      </c>
      <c r="C22">
        <f t="shared" si="0"/>
        <v>668</v>
      </c>
      <c r="D22">
        <f t="shared" si="0"/>
        <v>1326</v>
      </c>
      <c r="N22" s="2">
        <v>0.05</v>
      </c>
    </row>
    <row r="23" spans="1:14" x14ac:dyDescent="0.25">
      <c r="A23">
        <v>2043</v>
      </c>
      <c r="B23">
        <f t="shared" si="1"/>
        <v>4045</v>
      </c>
      <c r="C23">
        <f t="shared" si="0"/>
        <v>682</v>
      </c>
      <c r="D23">
        <f t="shared" si="0"/>
        <v>1353</v>
      </c>
    </row>
    <row r="24" spans="1:14" x14ac:dyDescent="0.25">
      <c r="A24">
        <v>2044</v>
      </c>
      <c r="B24">
        <f t="shared" si="1"/>
        <v>4126</v>
      </c>
      <c r="C24">
        <f t="shared" si="0"/>
        <v>696</v>
      </c>
      <c r="D24">
        <f t="shared" si="0"/>
        <v>1381</v>
      </c>
    </row>
    <row r="25" spans="1:14" x14ac:dyDescent="0.25">
      <c r="A25">
        <v>2045</v>
      </c>
      <c r="B25">
        <f t="shared" si="1"/>
        <v>4209</v>
      </c>
      <c r="C25">
        <f t="shared" si="1"/>
        <v>710</v>
      </c>
      <c r="D25">
        <f t="shared" si="1"/>
        <v>1409</v>
      </c>
    </row>
    <row r="26" spans="1:14" x14ac:dyDescent="0.25">
      <c r="A26">
        <v>2046</v>
      </c>
      <c r="B26">
        <f t="shared" ref="B26:D41" si="2">ROUNDUP(B25*1.02,0)</f>
        <v>4294</v>
      </c>
      <c r="C26">
        <f t="shared" si="2"/>
        <v>725</v>
      </c>
      <c r="D26">
        <f t="shared" si="2"/>
        <v>1438</v>
      </c>
    </row>
    <row r="27" spans="1:14" x14ac:dyDescent="0.25">
      <c r="A27">
        <v>2047</v>
      </c>
      <c r="B27">
        <f t="shared" si="2"/>
        <v>4380</v>
      </c>
      <c r="C27">
        <f t="shared" si="2"/>
        <v>740</v>
      </c>
      <c r="D27">
        <f t="shared" si="2"/>
        <v>1467</v>
      </c>
    </row>
    <row r="28" spans="1:14" x14ac:dyDescent="0.25">
      <c r="A28">
        <v>2048</v>
      </c>
      <c r="B28">
        <f t="shared" si="2"/>
        <v>4468</v>
      </c>
      <c r="C28">
        <f t="shared" si="2"/>
        <v>755</v>
      </c>
      <c r="D28">
        <f t="shared" si="2"/>
        <v>1497</v>
      </c>
    </row>
    <row r="29" spans="1:14" x14ac:dyDescent="0.25">
      <c r="A29">
        <v>2049</v>
      </c>
      <c r="B29">
        <f t="shared" si="2"/>
        <v>4558</v>
      </c>
      <c r="C29">
        <f t="shared" si="2"/>
        <v>771</v>
      </c>
      <c r="D29">
        <f t="shared" si="2"/>
        <v>1527</v>
      </c>
    </row>
    <row r="30" spans="1:14" x14ac:dyDescent="0.25">
      <c r="A30">
        <v>2050</v>
      </c>
      <c r="B30">
        <f t="shared" si="2"/>
        <v>4650</v>
      </c>
      <c r="C30">
        <f t="shared" si="2"/>
        <v>787</v>
      </c>
      <c r="D30">
        <f t="shared" si="2"/>
        <v>1558</v>
      </c>
    </row>
    <row r="31" spans="1:14" x14ac:dyDescent="0.25">
      <c r="A31">
        <v>2051</v>
      </c>
      <c r="B31">
        <f t="shared" si="2"/>
        <v>4743</v>
      </c>
      <c r="C31">
        <f t="shared" si="2"/>
        <v>803</v>
      </c>
      <c r="D31">
        <f t="shared" si="2"/>
        <v>1590</v>
      </c>
    </row>
    <row r="32" spans="1:14" x14ac:dyDescent="0.25">
      <c r="A32">
        <v>2052</v>
      </c>
      <c r="B32">
        <f t="shared" si="2"/>
        <v>4838</v>
      </c>
      <c r="C32">
        <f t="shared" si="2"/>
        <v>820</v>
      </c>
      <c r="D32">
        <f t="shared" si="2"/>
        <v>1622</v>
      </c>
    </row>
    <row r="33" spans="1:4" x14ac:dyDescent="0.25">
      <c r="A33">
        <v>2053</v>
      </c>
      <c r="B33">
        <f t="shared" si="2"/>
        <v>4935</v>
      </c>
      <c r="C33">
        <f t="shared" si="2"/>
        <v>837</v>
      </c>
      <c r="D33">
        <f t="shared" si="2"/>
        <v>1655</v>
      </c>
    </row>
    <row r="34" spans="1:4" x14ac:dyDescent="0.25">
      <c r="A34">
        <v>2054</v>
      </c>
      <c r="B34">
        <f t="shared" si="2"/>
        <v>5034</v>
      </c>
      <c r="C34">
        <f t="shared" si="2"/>
        <v>854</v>
      </c>
      <c r="D34">
        <f t="shared" si="2"/>
        <v>1689</v>
      </c>
    </row>
    <row r="35" spans="1:4" x14ac:dyDescent="0.25">
      <c r="A35">
        <v>2055</v>
      </c>
      <c r="B35">
        <f t="shared" si="2"/>
        <v>5135</v>
      </c>
      <c r="C35">
        <f t="shared" si="2"/>
        <v>872</v>
      </c>
      <c r="D35">
        <f t="shared" si="2"/>
        <v>1723</v>
      </c>
    </row>
    <row r="36" spans="1:4" x14ac:dyDescent="0.25">
      <c r="A36">
        <v>2056</v>
      </c>
      <c r="B36">
        <f t="shared" si="2"/>
        <v>5238</v>
      </c>
      <c r="C36">
        <f t="shared" si="2"/>
        <v>890</v>
      </c>
      <c r="D36">
        <f t="shared" si="2"/>
        <v>1758</v>
      </c>
    </row>
    <row r="37" spans="1:4" x14ac:dyDescent="0.25">
      <c r="A37">
        <v>2057</v>
      </c>
      <c r="B37">
        <f t="shared" si="2"/>
        <v>5343</v>
      </c>
      <c r="C37">
        <f t="shared" si="2"/>
        <v>908</v>
      </c>
      <c r="D37">
        <f t="shared" si="2"/>
        <v>1794</v>
      </c>
    </row>
    <row r="38" spans="1:4" x14ac:dyDescent="0.25">
      <c r="A38">
        <v>2058</v>
      </c>
      <c r="B38">
        <f t="shared" si="2"/>
        <v>5450</v>
      </c>
      <c r="C38">
        <f t="shared" si="2"/>
        <v>927</v>
      </c>
      <c r="D38">
        <f t="shared" si="2"/>
        <v>1830</v>
      </c>
    </row>
    <row r="39" spans="1:4" x14ac:dyDescent="0.25">
      <c r="A39">
        <v>2059</v>
      </c>
      <c r="B39">
        <f t="shared" si="2"/>
        <v>5559</v>
      </c>
      <c r="C39">
        <f t="shared" si="2"/>
        <v>946</v>
      </c>
      <c r="D39">
        <f t="shared" si="2"/>
        <v>1867</v>
      </c>
    </row>
    <row r="40" spans="1:4" x14ac:dyDescent="0.25">
      <c r="A40">
        <v>2060</v>
      </c>
      <c r="B40">
        <f t="shared" si="2"/>
        <v>5671</v>
      </c>
      <c r="C40">
        <f t="shared" si="2"/>
        <v>965</v>
      </c>
      <c r="D40">
        <f t="shared" si="2"/>
        <v>1905</v>
      </c>
    </row>
    <row r="41" spans="1:4" x14ac:dyDescent="0.25">
      <c r="A41">
        <v>2061</v>
      </c>
      <c r="B41">
        <f t="shared" si="2"/>
        <v>5785</v>
      </c>
      <c r="C41">
        <f t="shared" si="2"/>
        <v>985</v>
      </c>
      <c r="D41">
        <f t="shared" si="2"/>
        <v>1944</v>
      </c>
    </row>
    <row r="42" spans="1:4" x14ac:dyDescent="0.25">
      <c r="A42">
        <v>2062</v>
      </c>
      <c r="B42">
        <f t="shared" ref="B42:D57" si="3">ROUNDUP(B41*1.02,0)</f>
        <v>5901</v>
      </c>
      <c r="C42">
        <f t="shared" si="3"/>
        <v>1005</v>
      </c>
      <c r="D42">
        <f t="shared" si="3"/>
        <v>1983</v>
      </c>
    </row>
    <row r="43" spans="1:4" x14ac:dyDescent="0.25">
      <c r="A43">
        <v>2063</v>
      </c>
      <c r="B43">
        <f t="shared" si="3"/>
        <v>6020</v>
      </c>
      <c r="C43">
        <f t="shared" si="3"/>
        <v>1026</v>
      </c>
      <c r="D43">
        <f t="shared" si="3"/>
        <v>2023</v>
      </c>
    </row>
    <row r="44" spans="1:4" x14ac:dyDescent="0.25">
      <c r="A44">
        <v>2064</v>
      </c>
      <c r="B44">
        <f t="shared" si="3"/>
        <v>6141</v>
      </c>
      <c r="C44">
        <f t="shared" si="3"/>
        <v>1047</v>
      </c>
      <c r="D44">
        <f t="shared" si="3"/>
        <v>2064</v>
      </c>
    </row>
    <row r="45" spans="1:4" x14ac:dyDescent="0.25">
      <c r="A45">
        <v>2065</v>
      </c>
      <c r="B45">
        <f t="shared" si="3"/>
        <v>6264</v>
      </c>
      <c r="C45">
        <f t="shared" si="3"/>
        <v>1068</v>
      </c>
      <c r="D45">
        <f t="shared" si="3"/>
        <v>2106</v>
      </c>
    </row>
    <row r="46" spans="1:4" x14ac:dyDescent="0.25">
      <c r="A46">
        <v>2066</v>
      </c>
      <c r="B46">
        <f t="shared" si="3"/>
        <v>6390</v>
      </c>
      <c r="C46">
        <f t="shared" si="3"/>
        <v>1090</v>
      </c>
      <c r="D46">
        <f t="shared" si="3"/>
        <v>2149</v>
      </c>
    </row>
    <row r="47" spans="1:4" x14ac:dyDescent="0.25">
      <c r="A47">
        <v>2067</v>
      </c>
      <c r="B47">
        <f t="shared" si="3"/>
        <v>6518</v>
      </c>
      <c r="C47">
        <f t="shared" si="3"/>
        <v>1112</v>
      </c>
      <c r="D47">
        <f t="shared" si="3"/>
        <v>2192</v>
      </c>
    </row>
    <row r="48" spans="1:4" x14ac:dyDescent="0.25">
      <c r="A48">
        <v>2068</v>
      </c>
      <c r="B48">
        <f t="shared" si="3"/>
        <v>6649</v>
      </c>
      <c r="C48">
        <f t="shared" si="3"/>
        <v>1135</v>
      </c>
      <c r="D48">
        <f t="shared" si="3"/>
        <v>2236</v>
      </c>
    </row>
    <row r="49" spans="1:4" x14ac:dyDescent="0.25">
      <c r="A49">
        <v>2069</v>
      </c>
      <c r="B49">
        <f t="shared" si="3"/>
        <v>6782</v>
      </c>
      <c r="C49">
        <f t="shared" si="3"/>
        <v>1158</v>
      </c>
      <c r="D49">
        <f t="shared" si="3"/>
        <v>2281</v>
      </c>
    </row>
    <row r="50" spans="1:4" x14ac:dyDescent="0.25">
      <c r="A50">
        <v>2070</v>
      </c>
      <c r="B50">
        <f t="shared" si="3"/>
        <v>6918</v>
      </c>
      <c r="C50">
        <f t="shared" si="3"/>
        <v>1182</v>
      </c>
      <c r="D50">
        <f t="shared" si="3"/>
        <v>2327</v>
      </c>
    </row>
    <row r="51" spans="1:4" x14ac:dyDescent="0.25">
      <c r="A51">
        <v>2071</v>
      </c>
      <c r="B51">
        <f t="shared" si="3"/>
        <v>7057</v>
      </c>
      <c r="C51">
        <f t="shared" si="3"/>
        <v>1206</v>
      </c>
      <c r="D51">
        <f t="shared" si="3"/>
        <v>2374</v>
      </c>
    </row>
    <row r="52" spans="1:4" x14ac:dyDescent="0.25">
      <c r="A52">
        <v>2072</v>
      </c>
      <c r="B52">
        <f t="shared" si="3"/>
        <v>7199</v>
      </c>
      <c r="C52">
        <f t="shared" si="3"/>
        <v>1231</v>
      </c>
      <c r="D52">
        <f t="shared" si="3"/>
        <v>2422</v>
      </c>
    </row>
    <row r="53" spans="1:4" x14ac:dyDescent="0.25">
      <c r="A53">
        <v>2073</v>
      </c>
      <c r="B53">
        <f t="shared" si="3"/>
        <v>7343</v>
      </c>
      <c r="C53">
        <f t="shared" si="3"/>
        <v>1256</v>
      </c>
      <c r="D53">
        <f t="shared" si="3"/>
        <v>2471</v>
      </c>
    </row>
    <row r="54" spans="1:4" x14ac:dyDescent="0.25">
      <c r="A54">
        <v>2074</v>
      </c>
      <c r="B54">
        <f t="shared" si="3"/>
        <v>7490</v>
      </c>
      <c r="C54">
        <f t="shared" si="3"/>
        <v>1282</v>
      </c>
      <c r="D54">
        <f t="shared" si="3"/>
        <v>2521</v>
      </c>
    </row>
    <row r="55" spans="1:4" x14ac:dyDescent="0.25">
      <c r="A55">
        <v>2075</v>
      </c>
      <c r="B55">
        <f t="shared" si="3"/>
        <v>7640</v>
      </c>
      <c r="C55">
        <f t="shared" si="3"/>
        <v>1308</v>
      </c>
      <c r="D55">
        <f t="shared" si="3"/>
        <v>2572</v>
      </c>
    </row>
    <row r="56" spans="1:4" x14ac:dyDescent="0.25">
      <c r="A56">
        <v>2076</v>
      </c>
      <c r="B56">
        <f t="shared" si="3"/>
        <v>7793</v>
      </c>
      <c r="C56">
        <f t="shared" si="3"/>
        <v>1335</v>
      </c>
      <c r="D56">
        <f t="shared" si="3"/>
        <v>2624</v>
      </c>
    </row>
    <row r="57" spans="1:4" x14ac:dyDescent="0.25">
      <c r="A57">
        <v>2077</v>
      </c>
      <c r="B57">
        <f t="shared" si="3"/>
        <v>7949</v>
      </c>
      <c r="C57">
        <f t="shared" si="3"/>
        <v>1362</v>
      </c>
      <c r="D57">
        <f t="shared" si="3"/>
        <v>2677</v>
      </c>
    </row>
    <row r="58" spans="1:4" x14ac:dyDescent="0.25">
      <c r="A58">
        <v>2078</v>
      </c>
      <c r="B58">
        <f t="shared" ref="B58:D73" si="4">ROUNDUP(B57*1.02,0)</f>
        <v>8108</v>
      </c>
      <c r="C58">
        <f t="shared" si="4"/>
        <v>1390</v>
      </c>
      <c r="D58">
        <f t="shared" si="4"/>
        <v>2731</v>
      </c>
    </row>
    <row r="59" spans="1:4" x14ac:dyDescent="0.25">
      <c r="A59">
        <v>2079</v>
      </c>
      <c r="B59">
        <f t="shared" si="4"/>
        <v>8271</v>
      </c>
      <c r="C59">
        <f t="shared" si="4"/>
        <v>1418</v>
      </c>
      <c r="D59">
        <f t="shared" si="4"/>
        <v>2786</v>
      </c>
    </row>
    <row r="60" spans="1:4" x14ac:dyDescent="0.25">
      <c r="A60">
        <v>2080</v>
      </c>
      <c r="B60">
        <f t="shared" si="4"/>
        <v>8437</v>
      </c>
      <c r="C60">
        <f t="shared" si="4"/>
        <v>1447</v>
      </c>
      <c r="D60">
        <f t="shared" si="4"/>
        <v>2842</v>
      </c>
    </row>
    <row r="61" spans="1:4" x14ac:dyDescent="0.25">
      <c r="A61">
        <v>2081</v>
      </c>
      <c r="B61">
        <f t="shared" si="4"/>
        <v>8606</v>
      </c>
      <c r="C61">
        <f t="shared" si="4"/>
        <v>1476</v>
      </c>
      <c r="D61">
        <f t="shared" si="4"/>
        <v>2899</v>
      </c>
    </row>
    <row r="62" spans="1:4" x14ac:dyDescent="0.25">
      <c r="A62">
        <v>2082</v>
      </c>
      <c r="B62">
        <f t="shared" si="4"/>
        <v>8779</v>
      </c>
      <c r="C62">
        <f t="shared" si="4"/>
        <v>1506</v>
      </c>
      <c r="D62">
        <f t="shared" si="4"/>
        <v>2957</v>
      </c>
    </row>
    <row r="63" spans="1:4" x14ac:dyDescent="0.25">
      <c r="A63">
        <v>2083</v>
      </c>
      <c r="B63">
        <f t="shared" si="4"/>
        <v>8955</v>
      </c>
      <c r="C63">
        <f t="shared" si="4"/>
        <v>1537</v>
      </c>
      <c r="D63">
        <f t="shared" si="4"/>
        <v>3017</v>
      </c>
    </row>
    <row r="64" spans="1:4" x14ac:dyDescent="0.25">
      <c r="A64">
        <v>2084</v>
      </c>
      <c r="B64">
        <f t="shared" si="4"/>
        <v>9135</v>
      </c>
      <c r="C64">
        <f t="shared" si="4"/>
        <v>1568</v>
      </c>
      <c r="D64">
        <f t="shared" si="4"/>
        <v>3078</v>
      </c>
    </row>
    <row r="65" spans="1:4" x14ac:dyDescent="0.25">
      <c r="A65">
        <v>2085</v>
      </c>
      <c r="B65">
        <f t="shared" si="4"/>
        <v>9318</v>
      </c>
      <c r="C65">
        <f t="shared" si="4"/>
        <v>1600</v>
      </c>
      <c r="D65">
        <f t="shared" si="4"/>
        <v>3140</v>
      </c>
    </row>
    <row r="66" spans="1:4" x14ac:dyDescent="0.25">
      <c r="A66">
        <v>2086</v>
      </c>
      <c r="B66">
        <f t="shared" si="4"/>
        <v>9505</v>
      </c>
      <c r="C66">
        <f t="shared" si="4"/>
        <v>1632</v>
      </c>
      <c r="D66">
        <f t="shared" si="4"/>
        <v>3203</v>
      </c>
    </row>
    <row r="67" spans="1:4" x14ac:dyDescent="0.25">
      <c r="A67">
        <v>2087</v>
      </c>
      <c r="B67">
        <f t="shared" si="4"/>
        <v>9696</v>
      </c>
      <c r="C67">
        <f t="shared" si="4"/>
        <v>1665</v>
      </c>
      <c r="D67">
        <f t="shared" si="4"/>
        <v>3268</v>
      </c>
    </row>
    <row r="68" spans="1:4" x14ac:dyDescent="0.25">
      <c r="A68">
        <v>2088</v>
      </c>
      <c r="B68">
        <f t="shared" si="4"/>
        <v>9890</v>
      </c>
      <c r="C68">
        <f t="shared" si="4"/>
        <v>1699</v>
      </c>
      <c r="D68">
        <f t="shared" si="4"/>
        <v>3334</v>
      </c>
    </row>
    <row r="69" spans="1:4" x14ac:dyDescent="0.25">
      <c r="A69">
        <v>2089</v>
      </c>
      <c r="B69">
        <f t="shared" si="4"/>
        <v>10088</v>
      </c>
      <c r="C69">
        <f t="shared" si="4"/>
        <v>1733</v>
      </c>
      <c r="D69">
        <f t="shared" si="4"/>
        <v>3401</v>
      </c>
    </row>
    <row r="70" spans="1:4" x14ac:dyDescent="0.25">
      <c r="A70">
        <v>2090</v>
      </c>
      <c r="B70">
        <f t="shared" si="4"/>
        <v>10290</v>
      </c>
      <c r="C70">
        <f t="shared" si="4"/>
        <v>1768</v>
      </c>
      <c r="D70">
        <f t="shared" si="4"/>
        <v>3470</v>
      </c>
    </row>
    <row r="71" spans="1:4" x14ac:dyDescent="0.25">
      <c r="A71">
        <v>2091</v>
      </c>
      <c r="B71">
        <f t="shared" si="4"/>
        <v>10496</v>
      </c>
      <c r="C71">
        <f t="shared" si="4"/>
        <v>1804</v>
      </c>
      <c r="D71">
        <f t="shared" si="4"/>
        <v>3540</v>
      </c>
    </row>
    <row r="72" spans="1:4" x14ac:dyDescent="0.25">
      <c r="A72">
        <v>2092</v>
      </c>
      <c r="B72">
        <f t="shared" si="4"/>
        <v>10706</v>
      </c>
      <c r="C72">
        <f t="shared" si="4"/>
        <v>1841</v>
      </c>
      <c r="D72">
        <f t="shared" si="4"/>
        <v>3611</v>
      </c>
    </row>
    <row r="73" spans="1:4" x14ac:dyDescent="0.25">
      <c r="A73">
        <v>2093</v>
      </c>
      <c r="B73">
        <f t="shared" si="4"/>
        <v>10921</v>
      </c>
      <c r="C73">
        <f t="shared" si="4"/>
        <v>1878</v>
      </c>
      <c r="D73">
        <f t="shared" si="4"/>
        <v>3684</v>
      </c>
    </row>
    <row r="74" spans="1:4" x14ac:dyDescent="0.25">
      <c r="A74">
        <v>2094</v>
      </c>
      <c r="B74">
        <f t="shared" ref="B74:D89" si="5">ROUNDUP(B73*1.02,0)</f>
        <v>11140</v>
      </c>
      <c r="C74">
        <f t="shared" si="5"/>
        <v>1916</v>
      </c>
      <c r="D74">
        <f t="shared" si="5"/>
        <v>3758</v>
      </c>
    </row>
    <row r="75" spans="1:4" x14ac:dyDescent="0.25">
      <c r="A75">
        <v>2095</v>
      </c>
      <c r="B75">
        <f t="shared" si="5"/>
        <v>11363</v>
      </c>
      <c r="C75">
        <f t="shared" si="5"/>
        <v>1955</v>
      </c>
      <c r="D75">
        <f t="shared" si="5"/>
        <v>3834</v>
      </c>
    </row>
    <row r="76" spans="1:4" x14ac:dyDescent="0.25">
      <c r="A76">
        <v>2096</v>
      </c>
      <c r="B76">
        <f t="shared" si="5"/>
        <v>11591</v>
      </c>
      <c r="C76">
        <f t="shared" si="5"/>
        <v>1995</v>
      </c>
      <c r="D76">
        <f t="shared" si="5"/>
        <v>3911</v>
      </c>
    </row>
    <row r="77" spans="1:4" x14ac:dyDescent="0.25">
      <c r="A77">
        <v>2097</v>
      </c>
      <c r="B77">
        <f t="shared" si="5"/>
        <v>11823</v>
      </c>
      <c r="C77">
        <f t="shared" si="5"/>
        <v>2035</v>
      </c>
      <c r="D77">
        <f t="shared" si="5"/>
        <v>3990</v>
      </c>
    </row>
    <row r="78" spans="1:4" x14ac:dyDescent="0.25">
      <c r="A78">
        <v>2098</v>
      </c>
      <c r="B78">
        <f t="shared" si="5"/>
        <v>12060</v>
      </c>
      <c r="C78">
        <f t="shared" si="5"/>
        <v>2076</v>
      </c>
      <c r="D78">
        <f t="shared" si="5"/>
        <v>4070</v>
      </c>
    </row>
    <row r="79" spans="1:4" x14ac:dyDescent="0.25">
      <c r="A79">
        <v>2099</v>
      </c>
      <c r="B79">
        <f t="shared" si="5"/>
        <v>12302</v>
      </c>
      <c r="C79">
        <f t="shared" si="5"/>
        <v>2118</v>
      </c>
      <c r="D79">
        <f t="shared" si="5"/>
        <v>4152</v>
      </c>
    </row>
    <row r="80" spans="1:4" x14ac:dyDescent="0.25">
      <c r="A80">
        <v>2100</v>
      </c>
      <c r="B80">
        <f t="shared" si="5"/>
        <v>12549</v>
      </c>
      <c r="C80">
        <f t="shared" si="5"/>
        <v>2161</v>
      </c>
      <c r="D80">
        <f t="shared" si="5"/>
        <v>4236</v>
      </c>
    </row>
    <row r="81" spans="1:4" x14ac:dyDescent="0.25">
      <c r="A81">
        <v>2101</v>
      </c>
      <c r="B81">
        <f t="shared" si="5"/>
        <v>12800</v>
      </c>
      <c r="C81">
        <f t="shared" si="5"/>
        <v>2205</v>
      </c>
      <c r="D81">
        <f t="shared" si="5"/>
        <v>4321</v>
      </c>
    </row>
    <row r="82" spans="1:4" x14ac:dyDescent="0.25">
      <c r="A82">
        <v>2102</v>
      </c>
      <c r="B82">
        <f t="shared" si="5"/>
        <v>13056</v>
      </c>
      <c r="C82">
        <f t="shared" si="5"/>
        <v>2250</v>
      </c>
      <c r="D82">
        <f t="shared" si="5"/>
        <v>4408</v>
      </c>
    </row>
    <row r="83" spans="1:4" x14ac:dyDescent="0.25">
      <c r="A83">
        <v>2103</v>
      </c>
      <c r="B83">
        <f t="shared" si="5"/>
        <v>13318</v>
      </c>
      <c r="C83">
        <f t="shared" si="5"/>
        <v>2295</v>
      </c>
      <c r="D83">
        <f t="shared" si="5"/>
        <v>4497</v>
      </c>
    </row>
    <row r="84" spans="1:4" x14ac:dyDescent="0.25">
      <c r="A84">
        <v>2104</v>
      </c>
      <c r="B84">
        <f t="shared" si="5"/>
        <v>13585</v>
      </c>
      <c r="C84">
        <f t="shared" si="5"/>
        <v>2341</v>
      </c>
      <c r="D84">
        <f t="shared" si="5"/>
        <v>4587</v>
      </c>
    </row>
    <row r="85" spans="1:4" x14ac:dyDescent="0.25">
      <c r="A85">
        <v>2105</v>
      </c>
      <c r="B85">
        <f t="shared" si="5"/>
        <v>13857</v>
      </c>
      <c r="C85">
        <f t="shared" si="5"/>
        <v>2388</v>
      </c>
      <c r="D85">
        <f t="shared" si="5"/>
        <v>4679</v>
      </c>
    </row>
    <row r="86" spans="1:4" x14ac:dyDescent="0.25">
      <c r="A86">
        <v>2106</v>
      </c>
      <c r="B86">
        <f t="shared" si="5"/>
        <v>14135</v>
      </c>
      <c r="C86">
        <f t="shared" si="5"/>
        <v>2436</v>
      </c>
      <c r="D86">
        <f t="shared" si="5"/>
        <v>4773</v>
      </c>
    </row>
    <row r="87" spans="1:4" x14ac:dyDescent="0.25">
      <c r="A87">
        <v>2107</v>
      </c>
      <c r="B87">
        <f t="shared" si="5"/>
        <v>14418</v>
      </c>
      <c r="C87">
        <f t="shared" si="5"/>
        <v>2485</v>
      </c>
      <c r="D87">
        <f t="shared" si="5"/>
        <v>4869</v>
      </c>
    </row>
    <row r="88" spans="1:4" x14ac:dyDescent="0.25">
      <c r="A88">
        <v>2108</v>
      </c>
      <c r="B88">
        <f t="shared" si="5"/>
        <v>14707</v>
      </c>
      <c r="C88">
        <f t="shared" si="5"/>
        <v>2535</v>
      </c>
      <c r="D88">
        <f t="shared" si="5"/>
        <v>4967</v>
      </c>
    </row>
    <row r="89" spans="1:4" x14ac:dyDescent="0.25">
      <c r="A89">
        <v>2109</v>
      </c>
      <c r="B89">
        <f t="shared" si="5"/>
        <v>15002</v>
      </c>
      <c r="C89">
        <f t="shared" si="5"/>
        <v>2586</v>
      </c>
      <c r="D89">
        <f t="shared" si="5"/>
        <v>5067</v>
      </c>
    </row>
    <row r="90" spans="1:4" x14ac:dyDescent="0.25">
      <c r="A90">
        <v>2110</v>
      </c>
      <c r="B90">
        <f t="shared" ref="B90:D100" si="6">ROUNDUP(B89*1.02,0)</f>
        <v>15303</v>
      </c>
      <c r="C90">
        <f t="shared" si="6"/>
        <v>2638</v>
      </c>
      <c r="D90">
        <f t="shared" si="6"/>
        <v>5169</v>
      </c>
    </row>
    <row r="91" spans="1:4" x14ac:dyDescent="0.25">
      <c r="A91">
        <v>2111</v>
      </c>
      <c r="B91">
        <f t="shared" si="6"/>
        <v>15610</v>
      </c>
      <c r="C91">
        <f t="shared" si="6"/>
        <v>2691</v>
      </c>
      <c r="D91">
        <f t="shared" si="6"/>
        <v>5273</v>
      </c>
    </row>
    <row r="92" spans="1:4" x14ac:dyDescent="0.25">
      <c r="A92">
        <v>2112</v>
      </c>
      <c r="B92">
        <f t="shared" si="6"/>
        <v>15923</v>
      </c>
      <c r="C92">
        <f t="shared" si="6"/>
        <v>2745</v>
      </c>
      <c r="D92">
        <f t="shared" si="6"/>
        <v>5379</v>
      </c>
    </row>
    <row r="93" spans="1:4" x14ac:dyDescent="0.25">
      <c r="A93">
        <v>2113</v>
      </c>
      <c r="B93">
        <f t="shared" si="6"/>
        <v>16242</v>
      </c>
      <c r="C93">
        <f t="shared" si="6"/>
        <v>2800</v>
      </c>
      <c r="D93">
        <f t="shared" si="6"/>
        <v>5487</v>
      </c>
    </row>
    <row r="94" spans="1:4" x14ac:dyDescent="0.25">
      <c r="A94">
        <v>2114</v>
      </c>
      <c r="B94">
        <f t="shared" si="6"/>
        <v>16567</v>
      </c>
      <c r="C94">
        <f t="shared" si="6"/>
        <v>2856</v>
      </c>
      <c r="D94">
        <f t="shared" si="6"/>
        <v>5597</v>
      </c>
    </row>
    <row r="95" spans="1:4" x14ac:dyDescent="0.25">
      <c r="A95">
        <v>2115</v>
      </c>
      <c r="B95">
        <f t="shared" si="6"/>
        <v>16899</v>
      </c>
      <c r="C95">
        <f t="shared" si="6"/>
        <v>2914</v>
      </c>
      <c r="D95">
        <f t="shared" si="6"/>
        <v>5709</v>
      </c>
    </row>
    <row r="96" spans="1:4" x14ac:dyDescent="0.25">
      <c r="A96">
        <v>2116</v>
      </c>
      <c r="B96">
        <f t="shared" si="6"/>
        <v>17237</v>
      </c>
      <c r="C96">
        <f t="shared" si="6"/>
        <v>2973</v>
      </c>
      <c r="D96">
        <f t="shared" si="6"/>
        <v>5824</v>
      </c>
    </row>
    <row r="97" spans="1:4" x14ac:dyDescent="0.25">
      <c r="A97">
        <v>2117</v>
      </c>
      <c r="B97">
        <f t="shared" si="6"/>
        <v>17582</v>
      </c>
      <c r="C97">
        <f t="shared" si="6"/>
        <v>3033</v>
      </c>
      <c r="D97">
        <f t="shared" si="6"/>
        <v>5941</v>
      </c>
    </row>
    <row r="98" spans="1:4" x14ac:dyDescent="0.25">
      <c r="A98">
        <v>2118</v>
      </c>
      <c r="B98">
        <f t="shared" si="6"/>
        <v>17934</v>
      </c>
      <c r="C98">
        <f t="shared" si="6"/>
        <v>3094</v>
      </c>
      <c r="D98">
        <f t="shared" si="6"/>
        <v>6060</v>
      </c>
    </row>
    <row r="99" spans="1:4" x14ac:dyDescent="0.25">
      <c r="A99">
        <v>2119</v>
      </c>
      <c r="B99">
        <f t="shared" si="6"/>
        <v>18293</v>
      </c>
      <c r="C99">
        <f t="shared" si="6"/>
        <v>3156</v>
      </c>
      <c r="D99">
        <f t="shared" si="6"/>
        <v>6182</v>
      </c>
    </row>
    <row r="100" spans="1:4" x14ac:dyDescent="0.25">
      <c r="A100">
        <v>2120</v>
      </c>
      <c r="B100">
        <f t="shared" si="6"/>
        <v>18659</v>
      </c>
      <c r="C100">
        <f t="shared" si="6"/>
        <v>3220</v>
      </c>
      <c r="D100">
        <f t="shared" si="6"/>
        <v>6306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F27D5-4911-4506-96FA-5F4AC68C42AE}">
  <dimension ref="A1:D5"/>
  <sheetViews>
    <sheetView workbookViewId="0">
      <selection activeCell="D8" sqref="D8"/>
    </sheetView>
  </sheetViews>
  <sheetFormatPr defaultRowHeight="15" x14ac:dyDescent="0.25"/>
  <cols>
    <col min="1" max="1" width="25.140625" bestFit="1" customWidth="1"/>
    <col min="4" max="4" width="89.140625" bestFit="1" customWidth="1"/>
  </cols>
  <sheetData>
    <row r="1" spans="1:4" x14ac:dyDescent="0.25">
      <c r="B1" t="s">
        <v>11</v>
      </c>
      <c r="C1" t="s">
        <v>12</v>
      </c>
      <c r="D1" t="s">
        <v>13</v>
      </c>
    </row>
    <row r="2" spans="1:4" x14ac:dyDescent="0.25">
      <c r="A2" t="s">
        <v>47</v>
      </c>
      <c r="B2" s="4">
        <v>45505</v>
      </c>
      <c r="C2" t="s">
        <v>10</v>
      </c>
    </row>
    <row r="3" spans="1:4" x14ac:dyDescent="0.25">
      <c r="A3" t="s">
        <v>75</v>
      </c>
      <c r="B3" s="4">
        <v>45505</v>
      </c>
      <c r="C3" t="s">
        <v>76</v>
      </c>
      <c r="D3" t="s">
        <v>79</v>
      </c>
    </row>
    <row r="4" spans="1:4" x14ac:dyDescent="0.25">
      <c r="A4" t="s">
        <v>77</v>
      </c>
      <c r="B4" s="4">
        <v>45505</v>
      </c>
      <c r="C4" t="s">
        <v>78</v>
      </c>
      <c r="D4" t="s">
        <v>80</v>
      </c>
    </row>
    <row r="5" spans="1:4" x14ac:dyDescent="0.25">
      <c r="A5" t="s">
        <v>125</v>
      </c>
      <c r="B5" s="4">
        <v>45566</v>
      </c>
      <c r="C5" t="s">
        <v>123</v>
      </c>
      <c r="D5" t="s">
        <v>124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29493e11-43b2-444c-9949-93e4e79e13ca" origin="userSelected">
  <element uid="id_classification_generalbusiness" value=""/>
  <element uid="d594d16e-bd72-4a7a-b554-fc74cdefcaf9" value=""/>
</sisl>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389CE7-B7AA-4230-AD33-211C55D57A17}">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B2FBB82A-A8CD-4DCC-8F6C-D9D584863183}">
  <ds:schemaRefs>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6F02A2FC-0E6B-445A-A1F6-0207BEE8B993}">
  <ds:schemaRefs>
    <ds:schemaRef ds:uri="http://schemas.microsoft.com/sharepoint/v3/contenttype/forms"/>
  </ds:schemaRefs>
</ds:datastoreItem>
</file>

<file path=customXml/itemProps4.xml><?xml version="1.0" encoding="utf-8"?>
<ds:datastoreItem xmlns:ds="http://schemas.openxmlformats.org/officeDocument/2006/customXml" ds:itemID="{A7F35713-C9D7-4460-B783-01C5430DF0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38</vt:i4>
      </vt:variant>
    </vt:vector>
  </HeadingPairs>
  <TitlesOfParts>
    <vt:vector size="42" baseType="lpstr">
      <vt:lpstr>Input &amp; summary</vt:lpstr>
      <vt:lpstr>medium term comparison</vt:lpstr>
      <vt:lpstr>Allowances</vt:lpstr>
      <vt:lpstr>Control sheet</vt:lpstr>
      <vt:lpstr>AEA_used</vt:lpstr>
      <vt:lpstr>AEA_used_this_yr</vt:lpstr>
      <vt:lpstr>Allowance_used</vt:lpstr>
      <vt:lpstr>Cap_grwh</vt:lpstr>
      <vt:lpstr>CGT_rates</vt:lpstr>
      <vt:lpstr>CGT_Y_N</vt:lpstr>
      <vt:lpstr>CIB_net_return</vt:lpstr>
      <vt:lpstr>Closing_CIB_val</vt:lpstr>
      <vt:lpstr>Closing_GIA_val</vt:lpstr>
      <vt:lpstr>Current_GIA_gain</vt:lpstr>
      <vt:lpstr>Current_GIA_value</vt:lpstr>
      <vt:lpstr>Current_tax_rate</vt:lpstr>
      <vt:lpstr>Div_all_used</vt:lpstr>
      <vt:lpstr>Div_grwh</vt:lpstr>
      <vt:lpstr>DIV_rates</vt:lpstr>
      <vt:lpstr>final_carried_gain</vt:lpstr>
      <vt:lpstr>GIA_net_return</vt:lpstr>
      <vt:lpstr>Int_grwh</vt:lpstr>
      <vt:lpstr>Lifecorate</vt:lpstr>
      <vt:lpstr>Lifecoratediv</vt:lpstr>
      <vt:lpstr>max_return</vt:lpstr>
      <vt:lpstr>Opening_CIB</vt:lpstr>
      <vt:lpstr>'Input &amp; summary'!Print_Area</vt:lpstr>
      <vt:lpstr>'medium term comparison'!Print_Area</vt:lpstr>
      <vt:lpstr>projection_term</vt:lpstr>
      <vt:lpstr>PSA_used</vt:lpstr>
      <vt:lpstr>Rebase_gain</vt:lpstr>
      <vt:lpstr>Tax_if_clsd</vt:lpstr>
      <vt:lpstr>Tax_lookup</vt:lpstr>
      <vt:lpstr>Tax_loss_sav</vt:lpstr>
      <vt:lpstr>Tax_rates</vt:lpstr>
      <vt:lpstr>TaxYR_end</vt:lpstr>
      <vt:lpstr>Total_return</vt:lpstr>
      <vt:lpstr>Total_withs</vt:lpstr>
      <vt:lpstr>Total_withs_CIA</vt:lpstr>
      <vt:lpstr>With_perc</vt:lpstr>
      <vt:lpstr>Withs_level</vt:lpstr>
      <vt:lpstr>Year_recouped</vt:lpstr>
    </vt:vector>
  </TitlesOfParts>
  <Company>Old Mutual Wealth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Shaun</dc:creator>
  <cp:lastModifiedBy>Moore, Shaun</cp:lastModifiedBy>
  <cp:lastPrinted>2024-08-13T12:58:18Z</cp:lastPrinted>
  <dcterms:created xsi:type="dcterms:W3CDTF">2016-06-24T15:29:04Z</dcterms:created>
  <dcterms:modified xsi:type="dcterms:W3CDTF">2024-10-31T09:28:11Z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4da61e94-c206-4ae5-a73e-d68890a85e64</vt:lpwstr>
  </property>
  <property fmtid="{D5CDD505-2E9C-101B-9397-08002B2CF9AE}" pid="3" name="bjSaver">
    <vt:lpwstr>4rFabTb/9uU2x7324BdMaCzo80emPV7i</vt:lpwstr>
  </property>
  <property fmtid="{D5CDD505-2E9C-101B-9397-08002B2CF9AE}" pid="4" name="bjDocumentSecurityLabel">
    <vt:lpwstr>INTERNAL</vt:lpwstr>
  </property>
  <property fmtid="{D5CDD505-2E9C-101B-9397-08002B2CF9AE}" pid="5" name="bjCentreFooterLabel">
    <vt:lpwstr>&amp;"Arial,Regular"&amp;10&amp;K000000INTERNAL USE ONLY</vt:lpwstr>
  </property>
  <property fmtid="{D5CDD505-2E9C-101B-9397-08002B2CF9AE}" pid="6" name="bjDocumentLabelXML">
    <vt:lpwstr>&lt;?xml version="1.0" encoding="us-ascii"?&gt;&lt;sisl xmlns:xsi="http://www.w3.org/2001/XMLSchema-instance" xmlns:xsd="http://www.w3.org/2001/XMLSchema" sislVersion="0" policy="29493e11-43b2-444c-9949-93e4e79e13ca" origin="userSelected" xmlns="http://www.boldonj</vt:lpwstr>
  </property>
  <property fmtid="{D5CDD505-2E9C-101B-9397-08002B2CF9AE}" pid="7" name="bjDocumentLabelXML-0">
    <vt:lpwstr>ames.com/2008/01/sie/internal/label"&gt;&lt;element uid="id_classification_generalbusiness" value="" /&gt;&lt;element uid="d594d16e-bd72-4a7a-b554-fc74cdefcaf9" value="" /&gt;&lt;/sisl&gt;</vt:lpwstr>
  </property>
  <property fmtid="{D5CDD505-2E9C-101B-9397-08002B2CF9AE}" pid="8" name="MSIP_Label_6c98d367-e486-496c-b15f-fe4920252c73_Enabled">
    <vt:lpwstr>true</vt:lpwstr>
  </property>
  <property fmtid="{D5CDD505-2E9C-101B-9397-08002B2CF9AE}" pid="9" name="MSIP_Label_6c98d367-e486-496c-b15f-fe4920252c73_SetDate">
    <vt:lpwstr>2022-09-16T12:30:13Z</vt:lpwstr>
  </property>
  <property fmtid="{D5CDD505-2E9C-101B-9397-08002B2CF9AE}" pid="10" name="MSIP_Label_6c98d367-e486-496c-b15f-fe4920252c73_Method">
    <vt:lpwstr>Privileged</vt:lpwstr>
  </property>
  <property fmtid="{D5CDD505-2E9C-101B-9397-08002B2CF9AE}" pid="11" name="MSIP_Label_6c98d367-e486-496c-b15f-fe4920252c73_Name">
    <vt:lpwstr>6c98d367-e486-496c-b15f-fe4920252c73</vt:lpwstr>
  </property>
  <property fmtid="{D5CDD505-2E9C-101B-9397-08002B2CF9AE}" pid="12" name="MSIP_Label_6c98d367-e486-496c-b15f-fe4920252c73_SiteId">
    <vt:lpwstr>0c5bd621-4db2-45d4-92c6-94708f93fa6e</vt:lpwstr>
  </property>
  <property fmtid="{D5CDD505-2E9C-101B-9397-08002B2CF9AE}" pid="13" name="MSIP_Label_6c98d367-e486-496c-b15f-fe4920252c73_ActionId">
    <vt:lpwstr>9d5a3977-f23a-46d1-8ee5-d3c095c7d828</vt:lpwstr>
  </property>
  <property fmtid="{D5CDD505-2E9C-101B-9397-08002B2CF9AE}" pid="14" name="MSIP_Label_6c98d367-e486-496c-b15f-fe4920252c73_ContentBits">
    <vt:lpwstr>0</vt:lpwstr>
  </property>
</Properties>
</file>